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65" windowWidth="9480" windowHeight="6210" activeTab="0"/>
  </bookViews>
  <sheets>
    <sheet name="bassandroo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J?rgen Olsson</author>
  </authors>
  <commentList>
    <comment ref="A9" authorId="0">
      <text>
        <r>
          <rPr>
            <b/>
            <sz val="8"/>
            <rFont val="Tahoma"/>
            <family val="0"/>
          </rPr>
          <t>New total Q value due to the series resistance.</t>
        </r>
      </text>
    </comment>
    <comment ref="A11" authorId="0">
      <text>
        <r>
          <rPr>
            <b/>
            <sz val="8"/>
            <rFont val="Tahoma"/>
            <family val="0"/>
          </rPr>
          <t>Internal box volume seen by the driver, in litres.</t>
        </r>
      </text>
    </comment>
    <comment ref="A12" authorId="0">
      <text>
        <r>
          <rPr>
            <b/>
            <sz val="8"/>
            <rFont val="Tahoma"/>
            <family val="0"/>
          </rPr>
          <t>The box alignment. Typical ranges between 0,5-1,5.</t>
        </r>
      </text>
    </comment>
    <comment ref="A13" authorId="0">
      <text>
        <r>
          <rPr>
            <b/>
            <sz val="8"/>
            <rFont val="Tahoma"/>
            <family val="0"/>
          </rPr>
          <t>The resonat frequency for the closed box, in Hz.</t>
        </r>
      </text>
    </comment>
    <comment ref="A14" authorId="0">
      <text>
        <r>
          <rPr>
            <b/>
            <sz val="8"/>
            <rFont val="Tahoma"/>
            <family val="0"/>
          </rPr>
          <t>The -3dB point, in Hz.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Don't pay notice to this one - it's only a ratio for computing.</t>
        </r>
      </text>
    </comment>
    <comment ref="A16" authorId="0">
      <text>
        <r>
          <rPr>
            <b/>
            <sz val="8"/>
            <rFont val="Tahoma"/>
            <family val="0"/>
          </rPr>
          <t>Don't pay notice to this one - it's only a ratio for computing.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Internal box volume seen by the driver, in litres.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The resonant or tuning frequency for the vented box, in Hz.</t>
        </r>
      </text>
    </comment>
    <comment ref="A20" authorId="0">
      <text>
        <r>
          <rPr>
            <b/>
            <sz val="8"/>
            <rFont val="Tahoma"/>
            <family val="0"/>
          </rPr>
          <t>Box losses due to leakages. "Typical" loss figure is Ql = 7</t>
        </r>
      </text>
    </comment>
    <comment ref="A21" authorId="0">
      <text>
        <r>
          <rPr>
            <b/>
            <sz val="8"/>
            <rFont val="Tahoma"/>
            <family val="0"/>
          </rPr>
          <t>The -3dB point, in Hz.</t>
        </r>
      </text>
    </comment>
    <comment ref="A22" authorId="0">
      <text>
        <r>
          <rPr>
            <b/>
            <sz val="8"/>
            <rFont val="Tahoma"/>
            <family val="0"/>
          </rPr>
          <t>The internal diameter of the vent, in cm.</t>
        </r>
      </text>
    </comment>
    <comment ref="A23" authorId="0">
      <text>
        <r>
          <rPr>
            <b/>
            <sz val="8"/>
            <rFont val="Tahoma"/>
            <family val="0"/>
          </rPr>
          <t>Total vent length, in cm.</t>
        </r>
      </text>
    </comment>
    <comment ref="A25" authorId="0">
      <text>
        <r>
          <rPr>
            <b/>
            <sz val="8"/>
            <rFont val="Tahoma"/>
            <family val="0"/>
          </rPr>
          <t>Distance between woofer center and floor, in cm.</t>
        </r>
      </text>
    </comment>
    <comment ref="A26" authorId="0">
      <text>
        <r>
          <rPr>
            <b/>
            <sz val="8"/>
            <rFont val="Tahoma"/>
            <family val="0"/>
          </rPr>
          <t>Distance between woofer center and front wall, in cm.</t>
        </r>
      </text>
    </comment>
    <comment ref="A27" authorId="0">
      <text>
        <r>
          <rPr>
            <b/>
            <sz val="8"/>
            <rFont val="Tahoma"/>
            <family val="0"/>
          </rPr>
          <t>Distance between woofer center and side wall, in cm.</t>
        </r>
      </text>
    </comment>
    <comment ref="A4" authorId="0">
      <text>
        <r>
          <rPr>
            <b/>
            <sz val="8"/>
            <rFont val="Tahoma"/>
            <family val="0"/>
          </rPr>
          <t>Volume of air having the same acoustic compliance as driver suspension, in litres.</t>
        </r>
      </text>
    </comment>
    <comment ref="A5" authorId="0">
      <text>
        <r>
          <rPr>
            <b/>
            <sz val="8"/>
            <rFont val="Tahoma"/>
            <family val="0"/>
          </rPr>
          <t>Driver free-air resonance frequency, in Hz.</t>
        </r>
      </text>
    </comment>
    <comment ref="A6" authorId="0">
      <text>
        <r>
          <rPr>
            <b/>
            <sz val="8"/>
            <rFont val="Tahoma"/>
            <family val="0"/>
          </rPr>
          <t>Total Q value at Fs.</t>
        </r>
      </text>
    </comment>
    <comment ref="A7" authorId="0">
      <text>
        <r>
          <rPr>
            <b/>
            <sz val="8"/>
            <rFont val="Tahoma"/>
            <family val="0"/>
          </rPr>
          <t>Driver DC resistance, in ohm.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Additional series resistance, typical from speaker cables and xo coils, in ohm. </t>
        </r>
      </text>
    </comment>
  </commentList>
</comments>
</file>

<file path=xl/sharedStrings.xml><?xml version="1.0" encoding="utf-8"?>
<sst xmlns="http://schemas.openxmlformats.org/spreadsheetml/2006/main" count="138" uniqueCount="26">
  <si>
    <t>Woofer:</t>
  </si>
  <si>
    <t>Qts</t>
  </si>
  <si>
    <t>Qtsn</t>
  </si>
  <si>
    <t>Closed box:</t>
  </si>
  <si>
    <t>Qtc</t>
  </si>
  <si>
    <t>Qr</t>
  </si>
  <si>
    <t>Vr</t>
  </si>
  <si>
    <t>Vented box:</t>
  </si>
  <si>
    <t>Fb (Hz)</t>
  </si>
  <si>
    <t>Vb (l)</t>
  </si>
  <si>
    <t>F3 (Hz)</t>
  </si>
  <si>
    <t>Fc (Hz)</t>
  </si>
  <si>
    <t>Vas (l)</t>
  </si>
  <si>
    <t>Fs (Hz)</t>
  </si>
  <si>
    <t>Re (ohm)</t>
  </si>
  <si>
    <t>Series res (ohm)</t>
  </si>
  <si>
    <t>Ql</t>
  </si>
  <si>
    <t>Vent diam (cm)</t>
  </si>
  <si>
    <t>Vent length (cm)</t>
  </si>
  <si>
    <t>Woofer placement:</t>
  </si>
  <si>
    <t>Dist to floor (cm)</t>
  </si>
  <si>
    <t>Dist to side wall (cm)</t>
  </si>
  <si>
    <t>$</t>
  </si>
  <si>
    <t>Dist to back wall (cm)</t>
  </si>
  <si>
    <t>10C77</t>
  </si>
  <si>
    <t>two vents, length =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</si>
</sst>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&quot;L.&quot;\ #,##0;\-&quot;L.&quot;\ #,##0"/>
    <numFmt numFmtId="205" formatCode="&quot;L.&quot;\ #,##0;[Red]\-&quot;L.&quot;\ #,##0"/>
    <numFmt numFmtId="206" formatCode="&quot;L.&quot;\ #,##0.00;\-&quot;L.&quot;\ #,##0.00"/>
    <numFmt numFmtId="207" formatCode="&quot;L.&quot;\ #,##0.00;[Red]\-&quot;L.&quot;\ #,##0.00"/>
    <numFmt numFmtId="208" formatCode="_-&quot;L.&quot;\ * #,##0_-;\-&quot;L.&quot;\ * #,##0_-;_-&quot;L.&quot;\ * &quot;-&quot;_-;_-@_-"/>
    <numFmt numFmtId="209" formatCode="_-&quot;L.&quot;\ * #,##0.00_-;\-&quot;L.&quot;\ * #,##0.00_-;_-&quot;L.&quot;\ * &quot;-&quot;??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0.0\ \L"/>
    <numFmt numFmtId="219" formatCode="0.00\ \i\n"/>
    <numFmt numFmtId="220" formatCode="0.000000000"/>
    <numFmt numFmtId="221" formatCode="0.0000000000"/>
  </numFmts>
  <fonts count="16">
    <font>
      <sz val="10"/>
      <name val="Arial"/>
      <family val="0"/>
    </font>
    <font>
      <b/>
      <sz val="8"/>
      <name val="Arial"/>
      <family val="2"/>
    </font>
    <font>
      <b/>
      <sz val="8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8"/>
      <color indexed="54"/>
      <name val="Arial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1" fillId="2" borderId="0" xfId="0" applyNumberFormat="1" applyFont="1" applyFill="1" applyBorder="1" applyAlignment="1" applyProtection="1">
      <alignment horizontal="right"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10" fillId="5" borderId="5" xfId="0" applyFont="1" applyFill="1" applyBorder="1" applyAlignment="1" applyProtection="1">
      <alignment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2" fontId="1" fillId="4" borderId="0" xfId="0" applyNumberFormat="1" applyFont="1" applyFill="1" applyBorder="1" applyAlignment="1" applyProtection="1">
      <alignment horizontal="right"/>
      <protection hidden="1"/>
    </xf>
    <xf numFmtId="2" fontId="1" fillId="4" borderId="0" xfId="0" applyNumberFormat="1" applyFont="1" applyFill="1" applyBorder="1" applyAlignment="1" applyProtection="1">
      <alignment/>
      <protection hidden="1"/>
    </xf>
    <xf numFmtId="186" fontId="14" fillId="3" borderId="2" xfId="0" applyNumberFormat="1" applyFont="1" applyFill="1" applyBorder="1" applyAlignment="1" applyProtection="1">
      <alignment horizontal="center"/>
      <protection hidden="1"/>
    </xf>
    <xf numFmtId="186" fontId="14" fillId="3" borderId="3" xfId="0" applyNumberFormat="1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2" fontId="14" fillId="3" borderId="2" xfId="0" applyNumberFormat="1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15" fillId="5" borderId="5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186" fontId="1" fillId="7" borderId="2" xfId="0" applyNumberFormat="1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 applyProtection="1">
      <alignment horizontal="center"/>
      <protection hidden="1" locked="0"/>
    </xf>
    <xf numFmtId="186" fontId="13" fillId="8" borderId="3" xfId="0" applyNumberFormat="1" applyFont="1" applyFill="1" applyBorder="1" applyAlignment="1" applyProtection="1">
      <alignment horizontal="center"/>
      <protection hidden="1"/>
    </xf>
    <xf numFmtId="186" fontId="1" fillId="4" borderId="0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45"/>
          <c:w val="0.9255"/>
          <c:h val="0.8125"/>
        </c:manualLayout>
      </c:layout>
      <c:lineChart>
        <c:grouping val="standard"/>
        <c:varyColors val="0"/>
        <c:ser>
          <c:idx val="0"/>
          <c:order val="0"/>
          <c:tx>
            <c:v>Room gain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/>
            </c:numRef>
          </c:cat>
          <c:val>
            <c:numRef>
              <c:f>bassandroom!$V$41:$V$58</c:f>
              <c:numCache/>
            </c:numRef>
          </c:val>
          <c:smooth val="0"/>
        </c:ser>
        <c:ser>
          <c:idx val="1"/>
          <c:order val="1"/>
          <c:tx>
            <c:v>Closed box + Room gain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/>
            </c:numRef>
          </c:cat>
          <c:val>
            <c:numRef>
              <c:f>bassandroom!$AB$41:$AB$58</c:f>
              <c:numCache/>
            </c:numRef>
          </c:val>
          <c:smooth val="0"/>
        </c:ser>
        <c:ser>
          <c:idx val="2"/>
          <c:order val="2"/>
          <c:tx>
            <c:v>Vented box + Room gain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/>
            </c:numRef>
          </c:cat>
          <c:val>
            <c:numRef>
              <c:f>bassandroom!$AM$41:$AM$58</c:f>
              <c:numCache/>
            </c:numRef>
          </c:val>
          <c:smooth val="0"/>
        </c:ser>
        <c:ser>
          <c:idx val="3"/>
          <c:order val="3"/>
          <c:tx>
            <c:v>Closed box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/>
            </c:numRef>
          </c:cat>
          <c:val>
            <c:numRef>
              <c:f>bassandroom!$Z$41:$Z$58</c:f>
              <c:numCache/>
            </c:numRef>
          </c:val>
          <c:smooth val="0"/>
        </c:ser>
        <c:ser>
          <c:idx val="4"/>
          <c:order val="4"/>
          <c:tx>
            <c:v>Vented box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/>
            </c:numRef>
          </c:cat>
          <c:val>
            <c:numRef>
              <c:f>bassandroom!$AK$41:$AK$58</c:f>
              <c:numCache/>
            </c:numRef>
          </c:val>
          <c:smooth val="0"/>
        </c:ser>
        <c:axId val="33753416"/>
        <c:axId val="35345289"/>
      </c:line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753416"/>
        <c:crossesAt val="1"/>
        <c:crossBetween val="between"/>
        <c:dispUnits/>
        <c:majorUnit val="3"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06"/>
          <c:y val="0.08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9525</xdr:rowOff>
    </xdr:from>
    <xdr:to>
      <xdr:col>12</xdr:col>
      <xdr:colOff>533400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124075" y="371475"/>
        <a:ext cx="65341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9525</xdr:colOff>
      <xdr:row>2</xdr:row>
      <xdr:rowOff>19050</xdr:rowOff>
    </xdr:from>
    <xdr:to>
      <xdr:col>18</xdr:col>
      <xdr:colOff>114300</xdr:colOff>
      <xdr:row>21</xdr:row>
      <xdr:rowOff>142875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381000"/>
          <a:ext cx="31527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8.140625" style="0" bestFit="1" customWidth="1"/>
    <col min="2" max="2" width="12.28125" style="0" customWidth="1"/>
    <col min="33" max="33" width="9.7109375" style="0" bestFit="1" customWidth="1"/>
  </cols>
  <sheetData>
    <row r="1" spans="1:5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5.75">
      <c r="A2" s="19"/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5.75">
      <c r="A3" s="10" t="s">
        <v>0</v>
      </c>
      <c r="B3" s="20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2.75">
      <c r="A4" s="3" t="s">
        <v>12</v>
      </c>
      <c r="B4" s="22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2.75">
      <c r="A5" s="4" t="s">
        <v>13</v>
      </c>
      <c r="B5" s="21">
        <v>25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2.75">
      <c r="A6" s="4" t="s">
        <v>1</v>
      </c>
      <c r="B6" s="21">
        <v>0.24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2.75">
      <c r="A7" s="4" t="s">
        <v>14</v>
      </c>
      <c r="B7" s="21">
        <v>5.4</v>
      </c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2.75">
      <c r="A8" s="4" t="s">
        <v>15</v>
      </c>
      <c r="B8" s="21">
        <v>0.2</v>
      </c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2.75">
      <c r="A9" s="4" t="s">
        <v>2</v>
      </c>
      <c r="B9" s="17">
        <f>(B7+B8)*B6/B7</f>
        <v>0.24888888888888888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2.75">
      <c r="A10" s="10" t="s">
        <v>3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2.75">
      <c r="A11" s="4" t="s">
        <v>9</v>
      </c>
      <c r="B11" s="21">
        <v>55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2.75">
      <c r="A12" s="4" t="s">
        <v>4</v>
      </c>
      <c r="B12" s="18">
        <f>B15*B9</f>
        <v>0.4310882009949205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2.75">
      <c r="A13" s="4" t="s">
        <v>11</v>
      </c>
      <c r="B13" s="15">
        <f>B15*B5</f>
        <v>43.30127018922193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2.75">
      <c r="A14" s="4" t="s">
        <v>10</v>
      </c>
      <c r="B14" s="15">
        <f>B13*((1/B12^2-2+((1/B12^2-2)^2+4)^0.5)/2)^0.5</f>
        <v>82.77998410625203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2.75">
      <c r="A15" s="4" t="s">
        <v>5</v>
      </c>
      <c r="B15" s="15">
        <f>SQRT(1+B16)</f>
        <v>1.7320508075688772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2.75">
      <c r="A16" s="5" t="s">
        <v>6</v>
      </c>
      <c r="B16" s="16">
        <f>B4/B11</f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2.75">
      <c r="A17" s="10" t="s">
        <v>7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2.75">
      <c r="A18" s="4" t="s">
        <v>9</v>
      </c>
      <c r="B18" s="23">
        <v>55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2.75">
      <c r="A19" s="4" t="s">
        <v>8</v>
      </c>
      <c r="B19" s="24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2.75">
      <c r="A20" s="4" t="s">
        <v>16</v>
      </c>
      <c r="B20" s="21">
        <v>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2.75">
      <c r="A21" s="4" t="s">
        <v>10</v>
      </c>
      <c r="B21" s="17">
        <f>(B4/B18)^0.44*B5</f>
        <v>33.915108186191794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2.75">
      <c r="A22" s="4" t="s">
        <v>17</v>
      </c>
      <c r="B22" s="23">
        <v>6.8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.75">
      <c r="A23" s="5" t="s">
        <v>18</v>
      </c>
      <c r="B23" s="25">
        <f>((23562.5*B22^2*1/(B19^2*B18))-(0.732*B22))*0.7</f>
        <v>11.923174949494946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10" t="s">
        <v>19</v>
      </c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3" t="s">
        <v>20</v>
      </c>
      <c r="B25" s="22">
        <v>60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4" t="s">
        <v>23</v>
      </c>
      <c r="B26" s="21">
        <v>100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4" t="s">
        <v>21</v>
      </c>
      <c r="B27" s="21">
        <v>180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8" t="s">
        <v>25</v>
      </c>
      <c r="B28" s="26">
        <f>B23*2</f>
        <v>23.846349898989892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8"/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1" t="s">
        <v>22</v>
      </c>
      <c r="B40" s="13" t="s">
        <v>22</v>
      </c>
      <c r="C40" s="1" t="s">
        <v>22</v>
      </c>
      <c r="D40" s="13" t="s">
        <v>22</v>
      </c>
      <c r="E40" s="1" t="s">
        <v>22</v>
      </c>
      <c r="F40" s="13" t="s">
        <v>22</v>
      </c>
      <c r="G40" s="1" t="s">
        <v>22</v>
      </c>
      <c r="H40" s="13" t="s">
        <v>22</v>
      </c>
      <c r="I40" s="1" t="s">
        <v>22</v>
      </c>
      <c r="J40" s="13" t="s">
        <v>22</v>
      </c>
      <c r="K40" s="1" t="s">
        <v>22</v>
      </c>
      <c r="L40" s="13" t="s">
        <v>22</v>
      </c>
      <c r="M40" s="1" t="s">
        <v>22</v>
      </c>
      <c r="N40" s="13" t="s">
        <v>22</v>
      </c>
      <c r="O40" s="1" t="s">
        <v>22</v>
      </c>
      <c r="P40" s="13" t="s">
        <v>22</v>
      </c>
      <c r="Q40" s="1" t="s">
        <v>22</v>
      </c>
      <c r="R40" s="13" t="s">
        <v>22</v>
      </c>
      <c r="S40" s="1" t="s">
        <v>22</v>
      </c>
      <c r="T40" s="13" t="s">
        <v>22</v>
      </c>
      <c r="U40" s="1" t="s">
        <v>22</v>
      </c>
      <c r="V40" s="13" t="s">
        <v>22</v>
      </c>
      <c r="W40" s="1" t="s">
        <v>22</v>
      </c>
      <c r="X40" s="13" t="s">
        <v>22</v>
      </c>
      <c r="Y40" s="1" t="s">
        <v>22</v>
      </c>
      <c r="Z40" s="13" t="s">
        <v>22</v>
      </c>
      <c r="AA40" s="1" t="s">
        <v>22</v>
      </c>
      <c r="AB40" s="13" t="s">
        <v>22</v>
      </c>
      <c r="AC40" s="1" t="s">
        <v>22</v>
      </c>
      <c r="AD40" s="13" t="s">
        <v>22</v>
      </c>
      <c r="AE40" s="1" t="s">
        <v>22</v>
      </c>
      <c r="AF40" s="13" t="s">
        <v>22</v>
      </c>
      <c r="AG40" s="1" t="s">
        <v>22</v>
      </c>
      <c r="AH40" s="13" t="s">
        <v>22</v>
      </c>
      <c r="AI40" s="1" t="s">
        <v>22</v>
      </c>
      <c r="AJ40" s="13" t="s">
        <v>22</v>
      </c>
      <c r="AK40" s="1" t="s">
        <v>22</v>
      </c>
      <c r="AL40" s="13" t="s">
        <v>22</v>
      </c>
      <c r="AM40" s="1" t="s">
        <v>22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2">
        <f>B27/100</f>
        <v>1.8</v>
      </c>
      <c r="B41" s="14">
        <f>B25/100</f>
        <v>0.6</v>
      </c>
      <c r="C41" s="2">
        <f>B26/100</f>
        <v>1</v>
      </c>
      <c r="D41" s="14">
        <v>20</v>
      </c>
      <c r="E41" s="2">
        <f aca="true" t="shared" si="0" ref="E41:E58">344/D41</f>
        <v>17.2</v>
      </c>
      <c r="F41" s="14">
        <f aca="true" t="shared" si="1" ref="F41:F58">4*PI()*A41/E41</f>
        <v>1.3150852968515414</v>
      </c>
      <c r="G41" s="2">
        <f aca="true" t="shared" si="2" ref="G41:G58">SIN(F41)/F41</f>
        <v>0.7356813275714416</v>
      </c>
      <c r="H41" s="14">
        <f aca="true" t="shared" si="3" ref="H41:H58">4*PI()*B41/E41</f>
        <v>0.43836176561718043</v>
      </c>
      <c r="I41" s="2">
        <f aca="true" t="shared" si="4" ref="I41:I58">SIN(H41)/H41</f>
        <v>0.9682794718152755</v>
      </c>
      <c r="J41" s="14">
        <f aca="true" t="shared" si="5" ref="J41:J58">4*PI()*C41/E41</f>
        <v>0.7306029426953008</v>
      </c>
      <c r="K41" s="2">
        <f aca="true" t="shared" si="6" ref="K41:K58">SIN(J41)/J41</f>
        <v>0.9133809518483501</v>
      </c>
      <c r="L41" s="14">
        <f aca="true" t="shared" si="7" ref="L41:L58">4*PI()*SQRT(A41^2+B41^2)/E41</f>
        <v>1.3862216184831768</v>
      </c>
      <c r="M41" s="2">
        <f aca="true" t="shared" si="8" ref="M41:M58">SIN(L41)/L41</f>
        <v>0.7091322048071765</v>
      </c>
      <c r="N41" s="14">
        <f aca="true" t="shared" si="9" ref="N41:N58">4*PI()*SQRT(A41^2+C41^2)/E41</f>
        <v>1.5044035355815073</v>
      </c>
      <c r="O41" s="2">
        <f aca="true" t="shared" si="10" ref="O41:O58">SIN(N41)/N41</f>
        <v>0.663250773162057</v>
      </c>
      <c r="P41" s="14">
        <f aca="true" t="shared" si="11" ref="P41:P58">4*PI()*SQRT(B41^2+C41^2)/E41</f>
        <v>0.8520221226177431</v>
      </c>
      <c r="Q41" s="2">
        <f aca="true" t="shared" si="12" ref="Q41:Q58">SIN(P41)/P41</f>
        <v>0.8833261662037423</v>
      </c>
      <c r="R41" s="14">
        <f aca="true" t="shared" si="13" ref="R41:R58">4*PI()*SQRT(A41^2+B41^2+C41^2)/E41</f>
        <v>1.566968741049148</v>
      </c>
      <c r="S41" s="2">
        <f aca="true" t="shared" si="14" ref="S41:S58">SIN(R41)/R41</f>
        <v>0.6381701489036008</v>
      </c>
      <c r="T41" s="14">
        <v>1</v>
      </c>
      <c r="U41" s="2">
        <f aca="true" t="shared" si="15" ref="U41:U58">G41+I41+K41+M41+O41+Q41+S41+T41</f>
        <v>6.511221044311644</v>
      </c>
      <c r="V41" s="14">
        <f aca="true" t="shared" si="16" ref="V41:V58">10*LOG(U41)</f>
        <v>8.136624391182526</v>
      </c>
      <c r="W41" s="1" t="s">
        <v>22</v>
      </c>
      <c r="X41" s="14">
        <v>20</v>
      </c>
      <c r="Y41" s="2">
        <f>(20/B13)^2</f>
        <v>0.21333333333333337</v>
      </c>
      <c r="Z41" s="14">
        <f>10*LOG(Y41^2/((Y41-1)^2+Y41/B12^2))</f>
        <v>-15.8907084387926</v>
      </c>
      <c r="AA41" s="1" t="s">
        <v>22</v>
      </c>
      <c r="AB41" s="14">
        <f aca="true" t="shared" si="17" ref="AB41:AB58">V41+Z41</f>
        <v>-7.754084047610075</v>
      </c>
      <c r="AC41" s="1" t="s">
        <v>22</v>
      </c>
      <c r="AD41" s="14">
        <v>20</v>
      </c>
      <c r="AE41" s="2">
        <f>(AD41/B5)^2</f>
        <v>0.6400000000000001</v>
      </c>
      <c r="AF41" s="14">
        <f aca="true" t="shared" si="18" ref="AF41:AF58">AE41^2</f>
        <v>0.4096000000000002</v>
      </c>
      <c r="AG41" s="2">
        <f>(B19/B5)^2</f>
        <v>1.44</v>
      </c>
      <c r="AH41" s="14">
        <f>AG41/B9+B19/(B5*B20)</f>
        <v>5.957142857142857</v>
      </c>
      <c r="AI41" s="2">
        <f>1+AG41+(B4/B18)+B19/(B5*B9*B20)</f>
        <v>5.128775510204081</v>
      </c>
      <c r="AJ41" s="14">
        <f>1/B9+B19/(B5*B20)</f>
        <v>4.189285714285715</v>
      </c>
      <c r="AK41" s="2">
        <f>10*LOG(AF41^2/((AF41-AI41*AE41+AG41)^2+AE41*(AJ41*AE41-AH41)^2))</f>
        <v>-17.257206741781054</v>
      </c>
      <c r="AL41" s="13" t="s">
        <v>22</v>
      </c>
      <c r="AM41" s="2">
        <f aca="true" t="shared" si="19" ref="AM41:AM58">V41+AK41</f>
        <v>-9.120582350598529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2">
        <f>A41</f>
        <v>1.8</v>
      </c>
      <c r="B42" s="14">
        <f>B41</f>
        <v>0.6</v>
      </c>
      <c r="C42" s="2">
        <f>C41</f>
        <v>1</v>
      </c>
      <c r="D42" s="14">
        <v>25</v>
      </c>
      <c r="E42" s="2">
        <f t="shared" si="0"/>
        <v>13.76</v>
      </c>
      <c r="F42" s="14">
        <f t="shared" si="1"/>
        <v>1.6438566210644268</v>
      </c>
      <c r="G42" s="2">
        <f t="shared" si="2"/>
        <v>0.6067027202273645</v>
      </c>
      <c r="H42" s="14">
        <f t="shared" si="3"/>
        <v>0.5479522070214755</v>
      </c>
      <c r="I42" s="2">
        <f t="shared" si="4"/>
        <v>0.9507039734717473</v>
      </c>
      <c r="J42" s="14">
        <f t="shared" si="5"/>
        <v>0.913253678369126</v>
      </c>
      <c r="K42" s="2">
        <f t="shared" si="6"/>
        <v>0.8666775805849434</v>
      </c>
      <c r="L42" s="14">
        <f t="shared" si="7"/>
        <v>1.732777023103971</v>
      </c>
      <c r="M42" s="2">
        <f t="shared" si="8"/>
        <v>0.5695538277086929</v>
      </c>
      <c r="N42" s="14">
        <f t="shared" si="9"/>
        <v>1.880504419476884</v>
      </c>
      <c r="O42" s="2">
        <f t="shared" si="10"/>
        <v>0.5064718637692315</v>
      </c>
      <c r="P42" s="14">
        <f t="shared" si="11"/>
        <v>1.065027653272179</v>
      </c>
      <c r="Q42" s="2">
        <f t="shared" si="12"/>
        <v>0.8213893068910297</v>
      </c>
      <c r="R42" s="14">
        <f t="shared" si="13"/>
        <v>1.9587109263114348</v>
      </c>
      <c r="S42" s="2">
        <f t="shared" si="14"/>
        <v>0.47260669289523277</v>
      </c>
      <c r="T42" s="14">
        <v>1</v>
      </c>
      <c r="U42" s="2">
        <f t="shared" si="15"/>
        <v>5.794105965548242</v>
      </c>
      <c r="V42" s="14">
        <f t="shared" si="16"/>
        <v>7.6298643353810025</v>
      </c>
      <c r="W42" s="1" t="s">
        <v>22</v>
      </c>
      <c r="X42" s="14">
        <v>25</v>
      </c>
      <c r="Y42" s="2">
        <f>(25/B13)^2</f>
        <v>0.3333333333333333</v>
      </c>
      <c r="Z42" s="14">
        <f>10*LOG(Y42^2/((Y42-1)^2+Y42/B12^2))</f>
        <v>-13.041279478159638</v>
      </c>
      <c r="AA42" s="1" t="s">
        <v>22</v>
      </c>
      <c r="AB42" s="14">
        <f t="shared" si="17"/>
        <v>-5.411415142778635</v>
      </c>
      <c r="AC42" s="1" t="s">
        <v>22</v>
      </c>
      <c r="AD42" s="14">
        <v>25</v>
      </c>
      <c r="AE42" s="2">
        <f>(AD42/B5)^2</f>
        <v>1</v>
      </c>
      <c r="AF42" s="14">
        <f t="shared" si="18"/>
        <v>1</v>
      </c>
      <c r="AG42" s="2">
        <f>AG41</f>
        <v>1.44</v>
      </c>
      <c r="AH42" s="14">
        <f>AH41</f>
        <v>5.957142857142857</v>
      </c>
      <c r="AI42" s="2">
        <f>AI41</f>
        <v>5.128775510204081</v>
      </c>
      <c r="AJ42" s="14">
        <f>AJ41</f>
        <v>4.189285714285715</v>
      </c>
      <c r="AK42" s="2">
        <f>10*LOG(AF42^2/((AF42-AI41*AE42+AG41)^2+AE42*(AJ41*AE42-AH41)^2))</f>
        <v>-10.151430832385852</v>
      </c>
      <c r="AL42" s="13" t="s">
        <v>22</v>
      </c>
      <c r="AM42" s="2">
        <f t="shared" si="19"/>
        <v>-2.5215664970048497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2">
        <f>A41</f>
        <v>1.8</v>
      </c>
      <c r="B43" s="14">
        <f>B41</f>
        <v>0.6</v>
      </c>
      <c r="C43" s="2">
        <f>C41</f>
        <v>1</v>
      </c>
      <c r="D43" s="14">
        <v>31</v>
      </c>
      <c r="E43" s="2">
        <f t="shared" si="0"/>
        <v>11.096774193548388</v>
      </c>
      <c r="F43" s="14">
        <f t="shared" si="1"/>
        <v>2.038382210119889</v>
      </c>
      <c r="G43" s="2">
        <f t="shared" si="2"/>
        <v>0.43792523552473306</v>
      </c>
      <c r="H43" s="14">
        <f t="shared" si="3"/>
        <v>0.6794607367066297</v>
      </c>
      <c r="I43" s="2">
        <f t="shared" si="4"/>
        <v>0.9248122551294848</v>
      </c>
      <c r="J43" s="14">
        <f t="shared" si="5"/>
        <v>1.132434561177716</v>
      </c>
      <c r="K43" s="2">
        <f t="shared" si="6"/>
        <v>0.7995589931055205</v>
      </c>
      <c r="L43" s="14">
        <f t="shared" si="7"/>
        <v>2.1486435086489237</v>
      </c>
      <c r="M43" s="2">
        <f t="shared" si="8"/>
        <v>0.389846199782635</v>
      </c>
      <c r="N43" s="14">
        <f t="shared" si="9"/>
        <v>2.3318254801513363</v>
      </c>
      <c r="O43" s="2">
        <f t="shared" si="10"/>
        <v>0.3105406589622259</v>
      </c>
      <c r="P43" s="14">
        <f t="shared" si="11"/>
        <v>1.3206342900575017</v>
      </c>
      <c r="Q43" s="2">
        <f t="shared" si="12"/>
        <v>0.7336416506483582</v>
      </c>
      <c r="R43" s="14">
        <f t="shared" si="13"/>
        <v>2.4288015486261787</v>
      </c>
      <c r="S43" s="2">
        <f t="shared" si="14"/>
        <v>0.2692471508269629</v>
      </c>
      <c r="T43" s="14">
        <v>1</v>
      </c>
      <c r="U43" s="2">
        <f t="shared" si="15"/>
        <v>4.865572143979921</v>
      </c>
      <c r="V43" s="14">
        <f t="shared" si="16"/>
        <v>6.8713391641596475</v>
      </c>
      <c r="W43" s="1" t="s">
        <v>22</v>
      </c>
      <c r="X43" s="14">
        <v>31</v>
      </c>
      <c r="Y43" s="2">
        <f>(31/B13)^2</f>
        <v>0.5125333333333333</v>
      </c>
      <c r="Z43" s="14">
        <f>10*LOG(Y43^2/((Y43-1)^2+Y43/B12^2))</f>
        <v>-10.570389658351056</v>
      </c>
      <c r="AA43" s="1" t="s">
        <v>22</v>
      </c>
      <c r="AB43" s="14">
        <f t="shared" si="17"/>
        <v>-3.6990504941914084</v>
      </c>
      <c r="AC43" s="1" t="s">
        <v>22</v>
      </c>
      <c r="AD43" s="14">
        <v>31</v>
      </c>
      <c r="AE43" s="2">
        <f>(AD43/B5)^2</f>
        <v>1.5376</v>
      </c>
      <c r="AF43" s="14">
        <f t="shared" si="18"/>
        <v>2.36421376</v>
      </c>
      <c r="AG43" s="2">
        <f>AG41</f>
        <v>1.44</v>
      </c>
      <c r="AH43" s="14">
        <f>AH41</f>
        <v>5.957142857142857</v>
      </c>
      <c r="AI43" s="2">
        <f>AI41</f>
        <v>5.128775510204081</v>
      </c>
      <c r="AJ43" s="14">
        <f>AJ41</f>
        <v>4.189285714285715</v>
      </c>
      <c r="AK43" s="2">
        <f>10*LOG(AF43^2/((AF43-AI41*AE43+AG41)^2+AE43*(AJ41*AE43-AH41)^2))</f>
        <v>-4.836285448896681</v>
      </c>
      <c r="AL43" s="13" t="s">
        <v>22</v>
      </c>
      <c r="AM43" s="2">
        <f t="shared" si="19"/>
        <v>2.0350537152629666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2">
        <f>A41</f>
        <v>1.8</v>
      </c>
      <c r="B44" s="14">
        <f>B41</f>
        <v>0.6</v>
      </c>
      <c r="C44" s="2">
        <f>C41</f>
        <v>1</v>
      </c>
      <c r="D44" s="14">
        <v>40</v>
      </c>
      <c r="E44" s="2">
        <f t="shared" si="0"/>
        <v>8.6</v>
      </c>
      <c r="F44" s="14">
        <f t="shared" si="1"/>
        <v>2.630170593703083</v>
      </c>
      <c r="G44" s="2">
        <f t="shared" si="2"/>
        <v>0.18607836654504673</v>
      </c>
      <c r="H44" s="14">
        <f t="shared" si="3"/>
        <v>0.8767235312343609</v>
      </c>
      <c r="I44" s="2">
        <f t="shared" si="4"/>
        <v>0.8767269411559362</v>
      </c>
      <c r="J44" s="14">
        <f t="shared" si="5"/>
        <v>1.4612058853906016</v>
      </c>
      <c r="K44" s="2">
        <f t="shared" si="6"/>
        <v>0.6802607251846888</v>
      </c>
      <c r="L44" s="14">
        <f t="shared" si="7"/>
        <v>2.7724432369663536</v>
      </c>
      <c r="M44" s="2">
        <f t="shared" si="8"/>
        <v>0.13014595728956208</v>
      </c>
      <c r="N44" s="14">
        <f t="shared" si="9"/>
        <v>3.0088070711630146</v>
      </c>
      <c r="O44" s="2">
        <f t="shared" si="10"/>
        <v>0.0440027261159398</v>
      </c>
      <c r="P44" s="14">
        <f t="shared" si="11"/>
        <v>1.7040442452354863</v>
      </c>
      <c r="Q44" s="2">
        <f t="shared" si="12"/>
        <v>0.5816372586146765</v>
      </c>
      <c r="R44" s="14">
        <f t="shared" si="13"/>
        <v>3.133937482098296</v>
      </c>
      <c r="S44" s="2">
        <f t="shared" si="14"/>
        <v>0.0024426450010026596</v>
      </c>
      <c r="T44" s="14">
        <v>1</v>
      </c>
      <c r="U44" s="2">
        <f t="shared" si="15"/>
        <v>3.5012946199068526</v>
      </c>
      <c r="V44" s="14">
        <f t="shared" si="16"/>
        <v>5.442286564423644</v>
      </c>
      <c r="W44" s="1" t="s">
        <v>22</v>
      </c>
      <c r="X44" s="14">
        <v>40</v>
      </c>
      <c r="Y44" s="2">
        <f>(40/B13)^2</f>
        <v>0.8533333333333335</v>
      </c>
      <c r="Z44" s="14">
        <f>10*LOG(Y44^2/((Y44-1)^2+Y44/B12^2))</f>
        <v>-8.01778780403793</v>
      </c>
      <c r="AA44" s="1" t="s">
        <v>22</v>
      </c>
      <c r="AB44" s="14">
        <f t="shared" si="17"/>
        <v>-2.575501239614286</v>
      </c>
      <c r="AC44" s="1" t="s">
        <v>22</v>
      </c>
      <c r="AD44" s="14">
        <v>40</v>
      </c>
      <c r="AE44" s="2">
        <f>(AD44/B5)^2</f>
        <v>2.5600000000000005</v>
      </c>
      <c r="AF44" s="14">
        <f t="shared" si="18"/>
        <v>6.553600000000003</v>
      </c>
      <c r="AG44" s="2">
        <f>AG41</f>
        <v>1.44</v>
      </c>
      <c r="AH44" s="14">
        <f>AH41</f>
        <v>5.957142857142857</v>
      </c>
      <c r="AI44" s="2">
        <f>AI41</f>
        <v>5.128775510204081</v>
      </c>
      <c r="AJ44" s="14">
        <f>AJ41</f>
        <v>4.189285714285715</v>
      </c>
      <c r="AK44" s="2">
        <f>10*LOG(AF44^2/((AF44-AI41*AE44+AG41)^2+AE44*(AJ41*AE44-AH41)^2))</f>
        <v>-2.9422466664357327</v>
      </c>
      <c r="AL44" s="13" t="s">
        <v>22</v>
      </c>
      <c r="AM44" s="2">
        <f t="shared" si="19"/>
        <v>2.5000398979879113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2">
        <f>A41</f>
        <v>1.8</v>
      </c>
      <c r="B45" s="14">
        <f>B41</f>
        <v>0.6</v>
      </c>
      <c r="C45" s="2">
        <f>C41</f>
        <v>1</v>
      </c>
      <c r="D45" s="14">
        <v>50</v>
      </c>
      <c r="E45" s="2">
        <f t="shared" si="0"/>
        <v>6.88</v>
      </c>
      <c r="F45" s="14">
        <f t="shared" si="1"/>
        <v>3.2877132421288535</v>
      </c>
      <c r="G45" s="2">
        <f t="shared" si="2"/>
        <v>-0.04428645596862506</v>
      </c>
      <c r="H45" s="14">
        <f t="shared" si="3"/>
        <v>1.095904414042951</v>
      </c>
      <c r="I45" s="2">
        <f t="shared" si="4"/>
        <v>0.8115143414758282</v>
      </c>
      <c r="J45" s="14">
        <f t="shared" si="5"/>
        <v>1.826507356738252</v>
      </c>
      <c r="K45" s="2">
        <f t="shared" si="6"/>
        <v>0.5296905558514379</v>
      </c>
      <c r="L45" s="14">
        <f t="shared" si="7"/>
        <v>3.465554046207942</v>
      </c>
      <c r="M45" s="2">
        <f t="shared" si="8"/>
        <v>-0.09185381977302352</v>
      </c>
      <c r="N45" s="14">
        <f t="shared" si="9"/>
        <v>3.761008838953768</v>
      </c>
      <c r="O45" s="2">
        <f t="shared" si="10"/>
        <v>-0.15436281387495454</v>
      </c>
      <c r="P45" s="14">
        <f t="shared" si="11"/>
        <v>2.130055306544358</v>
      </c>
      <c r="Q45" s="2">
        <f t="shared" si="12"/>
        <v>0.3979467084652723</v>
      </c>
      <c r="R45" s="14">
        <f t="shared" si="13"/>
        <v>3.9174218526228697</v>
      </c>
      <c r="S45" s="2">
        <f t="shared" si="14"/>
        <v>-0.17876763297479498</v>
      </c>
      <c r="T45" s="14">
        <v>1</v>
      </c>
      <c r="U45" s="2">
        <f t="shared" si="15"/>
        <v>2.2698808832011403</v>
      </c>
      <c r="V45" s="14">
        <f t="shared" si="16"/>
        <v>3.5600306726986726</v>
      </c>
      <c r="W45" s="1" t="s">
        <v>22</v>
      </c>
      <c r="X45" s="14">
        <v>50</v>
      </c>
      <c r="Y45" s="2">
        <f>(50/B13)^2</f>
        <v>1.3333333333333333</v>
      </c>
      <c r="Z45" s="14">
        <f>10*LOG(Y45^2/((Y45-1)^2+Y45/B12^2))</f>
        <v>-6.126031107790382</v>
      </c>
      <c r="AA45" s="1" t="s">
        <v>22</v>
      </c>
      <c r="AB45" s="14">
        <f t="shared" si="17"/>
        <v>-2.5660004350917096</v>
      </c>
      <c r="AC45" s="1" t="s">
        <v>22</v>
      </c>
      <c r="AD45" s="14">
        <v>50</v>
      </c>
      <c r="AE45" s="2">
        <f>(AD45/B5)^2</f>
        <v>4</v>
      </c>
      <c r="AF45" s="14">
        <f t="shared" si="18"/>
        <v>16</v>
      </c>
      <c r="AG45" s="2">
        <f>AG41</f>
        <v>1.44</v>
      </c>
      <c r="AH45" s="14">
        <f>AH41</f>
        <v>5.957142857142857</v>
      </c>
      <c r="AI45" s="2">
        <f>AI41</f>
        <v>5.128775510204081</v>
      </c>
      <c r="AJ45" s="14">
        <f>AJ41</f>
        <v>4.189285714285715</v>
      </c>
      <c r="AK45" s="2">
        <f>10*LOG(AF45^2/((AF45-AI41*AE45+AG41)^2+AE45*(AJ41*AE45-AH41)^2))</f>
        <v>-2.6938181572219144</v>
      </c>
      <c r="AL45" s="13" t="s">
        <v>22</v>
      </c>
      <c r="AM45" s="2">
        <f t="shared" si="19"/>
        <v>0.8662125154767581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2">
        <f>A41</f>
        <v>1.8</v>
      </c>
      <c r="B46" s="14">
        <f>B41</f>
        <v>0.6</v>
      </c>
      <c r="C46" s="2">
        <f>C41</f>
        <v>1</v>
      </c>
      <c r="D46" s="14">
        <v>63</v>
      </c>
      <c r="E46" s="2">
        <f t="shared" si="0"/>
        <v>5.4603174603174605</v>
      </c>
      <c r="F46" s="14">
        <f t="shared" si="1"/>
        <v>4.142518685082355</v>
      </c>
      <c r="G46" s="2">
        <f t="shared" si="2"/>
        <v>-0.20325097480526763</v>
      </c>
      <c r="H46" s="14">
        <f t="shared" si="3"/>
        <v>1.3808395616941183</v>
      </c>
      <c r="I46" s="2">
        <f t="shared" si="4"/>
        <v>0.7111705275086001</v>
      </c>
      <c r="J46" s="14">
        <f t="shared" si="5"/>
        <v>2.3013992694901972</v>
      </c>
      <c r="K46" s="2">
        <f t="shared" si="6"/>
        <v>0.3236171109538776</v>
      </c>
      <c r="L46" s="14">
        <f t="shared" si="7"/>
        <v>4.366598098222007</v>
      </c>
      <c r="M46" s="2">
        <f t="shared" si="8"/>
        <v>-0.21545552474343177</v>
      </c>
      <c r="N46" s="14">
        <f t="shared" si="9"/>
        <v>4.738871137081748</v>
      </c>
      <c r="O46" s="2">
        <f t="shared" si="10"/>
        <v>-0.21094672956148233</v>
      </c>
      <c r="P46" s="14">
        <f t="shared" si="11"/>
        <v>2.683869686245891</v>
      </c>
      <c r="Q46" s="2">
        <f t="shared" si="12"/>
        <v>0.16465278448020587</v>
      </c>
      <c r="R46" s="14">
        <f t="shared" si="13"/>
        <v>4.935951534304816</v>
      </c>
      <c r="S46" s="2">
        <f t="shared" si="14"/>
        <v>-0.19755335854951606</v>
      </c>
      <c r="T46" s="14">
        <v>1</v>
      </c>
      <c r="U46" s="2">
        <f t="shared" si="15"/>
        <v>1.372233835282986</v>
      </c>
      <c r="V46" s="14">
        <f t="shared" si="16"/>
        <v>1.3742812355731493</v>
      </c>
      <c r="W46" s="1" t="s">
        <v>22</v>
      </c>
      <c r="X46" s="14">
        <v>63</v>
      </c>
      <c r="Y46" s="2">
        <f>(63/B13)^2</f>
        <v>2.1168000000000005</v>
      </c>
      <c r="Z46" s="14">
        <f>10*LOG(Y46^2/((Y46-1)^2+Y46/B12^2))</f>
        <v>-4.503141351288803</v>
      </c>
      <c r="AA46" s="1" t="s">
        <v>22</v>
      </c>
      <c r="AB46" s="14">
        <f t="shared" si="17"/>
        <v>-3.1288601157156535</v>
      </c>
      <c r="AC46" s="1" t="s">
        <v>22</v>
      </c>
      <c r="AD46" s="14">
        <v>63</v>
      </c>
      <c r="AE46" s="2">
        <f>(AD46/B5)^2</f>
        <v>6.3504000000000005</v>
      </c>
      <c r="AF46" s="14">
        <f t="shared" si="18"/>
        <v>40.327580160000004</v>
      </c>
      <c r="AG46" s="2">
        <f>AG41</f>
        <v>1.44</v>
      </c>
      <c r="AH46" s="14">
        <f>AH41</f>
        <v>5.957142857142857</v>
      </c>
      <c r="AI46" s="2">
        <f>AI41</f>
        <v>5.128775510204081</v>
      </c>
      <c r="AJ46" s="14">
        <f>AJ41</f>
        <v>4.189285714285715</v>
      </c>
      <c r="AK46" s="2">
        <f>10*LOG(AF46^2/((AF46-AI41*AE46+AG41)^2+AE46*(AJ41*AE46-AH41)^2))</f>
        <v>-2.3465421871573597</v>
      </c>
      <c r="AL46" s="13" t="s">
        <v>22</v>
      </c>
      <c r="AM46" s="2">
        <f t="shared" si="19"/>
        <v>-0.9722609515842104</v>
      </c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2">
        <f>A41</f>
        <v>1.8</v>
      </c>
      <c r="B47" s="14">
        <f>B41</f>
        <v>0.6</v>
      </c>
      <c r="C47" s="2">
        <f>C41</f>
        <v>1</v>
      </c>
      <c r="D47" s="14">
        <v>80</v>
      </c>
      <c r="E47" s="2">
        <f t="shared" si="0"/>
        <v>4.3</v>
      </c>
      <c r="F47" s="14">
        <f t="shared" si="1"/>
        <v>5.260341187406166</v>
      </c>
      <c r="G47" s="2">
        <f t="shared" si="2"/>
        <v>-0.1622695294139745</v>
      </c>
      <c r="H47" s="14">
        <f t="shared" si="3"/>
        <v>1.7534470624687217</v>
      </c>
      <c r="I47" s="2">
        <f t="shared" si="4"/>
        <v>0.560818571531302</v>
      </c>
      <c r="J47" s="14">
        <f t="shared" si="5"/>
        <v>2.922411770781203</v>
      </c>
      <c r="K47" s="2">
        <f t="shared" si="6"/>
        <v>0.07440093752545848</v>
      </c>
      <c r="L47" s="14">
        <f t="shared" si="7"/>
        <v>5.544886473932707</v>
      </c>
      <c r="M47" s="2">
        <f t="shared" si="8"/>
        <v>-0.12137862182644442</v>
      </c>
      <c r="N47" s="14">
        <f t="shared" si="9"/>
        <v>6.017614142326029</v>
      </c>
      <c r="O47" s="2">
        <f t="shared" si="10"/>
        <v>-0.04361536750407226</v>
      </c>
      <c r="P47" s="14">
        <f t="shared" si="11"/>
        <v>3.4080884904709725</v>
      </c>
      <c r="Q47" s="2">
        <f t="shared" si="12"/>
        <v>-0.07727281621045566</v>
      </c>
      <c r="R47" s="14">
        <f t="shared" si="13"/>
        <v>6.267874964196592</v>
      </c>
      <c r="S47" s="2">
        <f t="shared" si="14"/>
        <v>-0.0024425734298377756</v>
      </c>
      <c r="T47" s="14">
        <v>1</v>
      </c>
      <c r="U47" s="2">
        <f t="shared" si="15"/>
        <v>1.2282406006719757</v>
      </c>
      <c r="V47" s="14">
        <f t="shared" si="16"/>
        <v>0.8928344930438521</v>
      </c>
      <c r="W47" s="1" t="s">
        <v>22</v>
      </c>
      <c r="X47" s="14">
        <v>80</v>
      </c>
      <c r="Y47" s="2">
        <f>(80/B13)^2</f>
        <v>3.413333333333334</v>
      </c>
      <c r="Z47" s="14">
        <f>10*LOG(Y47^2/((Y47-1)^2+Y47/B12^2))</f>
        <v>-3.173058376144982</v>
      </c>
      <c r="AA47" s="1" t="s">
        <v>22</v>
      </c>
      <c r="AB47" s="14">
        <f t="shared" si="17"/>
        <v>-2.28022388310113</v>
      </c>
      <c r="AC47" s="1" t="s">
        <v>22</v>
      </c>
      <c r="AD47" s="14">
        <v>80</v>
      </c>
      <c r="AE47" s="2">
        <f>(AD47/B5)^2</f>
        <v>10.240000000000002</v>
      </c>
      <c r="AF47" s="14">
        <f t="shared" si="18"/>
        <v>104.85760000000005</v>
      </c>
      <c r="AG47" s="2">
        <f>AG41</f>
        <v>1.44</v>
      </c>
      <c r="AH47" s="14">
        <f>AH41</f>
        <v>5.957142857142857</v>
      </c>
      <c r="AI47" s="2">
        <f>AI41</f>
        <v>5.128775510204081</v>
      </c>
      <c r="AJ47" s="14">
        <f>AJ41</f>
        <v>4.189285714285715</v>
      </c>
      <c r="AK47" s="2">
        <f>10*LOG(AF47^2/((AF47-AI41*AE47+AG41)^2+AE47*(AJ41*AE47-AH41)^2))</f>
        <v>-1.8581665047134028</v>
      </c>
      <c r="AL47" s="13" t="s">
        <v>22</v>
      </c>
      <c r="AM47" s="2">
        <f t="shared" si="19"/>
        <v>-0.9653320116695507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2">
        <f>A41</f>
        <v>1.8</v>
      </c>
      <c r="B48" s="14">
        <f>B41</f>
        <v>0.6</v>
      </c>
      <c r="C48" s="2">
        <f>C41</f>
        <v>1</v>
      </c>
      <c r="D48" s="14">
        <v>100</v>
      </c>
      <c r="E48" s="2">
        <f t="shared" si="0"/>
        <v>3.44</v>
      </c>
      <c r="F48" s="14">
        <f t="shared" si="1"/>
        <v>6.575426484257707</v>
      </c>
      <c r="G48" s="2">
        <f t="shared" si="2"/>
        <v>0.043814511508109576</v>
      </c>
      <c r="H48" s="14">
        <f t="shared" si="3"/>
        <v>2.191808828085902</v>
      </c>
      <c r="I48" s="2">
        <f t="shared" si="4"/>
        <v>0.3710587028914416</v>
      </c>
      <c r="J48" s="14">
        <f t="shared" si="5"/>
        <v>3.653014713476504</v>
      </c>
      <c r="K48" s="2">
        <f t="shared" si="6"/>
        <v>-0.1339764239124337</v>
      </c>
      <c r="L48" s="14">
        <f t="shared" si="7"/>
        <v>6.931108092415884</v>
      </c>
      <c r="M48" s="2">
        <f t="shared" si="8"/>
        <v>0.08707575415409308</v>
      </c>
      <c r="N48" s="14">
        <f t="shared" si="9"/>
        <v>7.522017677907536</v>
      </c>
      <c r="O48" s="2">
        <f t="shared" si="10"/>
        <v>0.12568490977389818</v>
      </c>
      <c r="P48" s="14">
        <f t="shared" si="11"/>
        <v>4.260110613088716</v>
      </c>
      <c r="Q48" s="2">
        <f t="shared" si="12"/>
        <v>-0.21113389687781076</v>
      </c>
      <c r="R48" s="14">
        <f t="shared" si="13"/>
        <v>7.834843705245739</v>
      </c>
      <c r="S48" s="2">
        <f t="shared" si="14"/>
        <v>0.12761159163416927</v>
      </c>
      <c r="T48" s="14">
        <v>1</v>
      </c>
      <c r="U48" s="2">
        <f t="shared" si="15"/>
        <v>1.410135149171467</v>
      </c>
      <c r="V48" s="14">
        <f t="shared" si="16"/>
        <v>1.4926073799341673</v>
      </c>
      <c r="W48" s="1" t="s">
        <v>22</v>
      </c>
      <c r="X48" s="14">
        <v>100</v>
      </c>
      <c r="Y48" s="2">
        <f>(100/B13)^2</f>
        <v>5.333333333333333</v>
      </c>
      <c r="Z48" s="14">
        <f>10*LOG(Y48^2/((Y48-1)^2+Y48/B12^2))</f>
        <v>-2.2248359340384414</v>
      </c>
      <c r="AA48" s="1" t="s">
        <v>22</v>
      </c>
      <c r="AB48" s="14">
        <f t="shared" si="17"/>
        <v>-0.7322285541042741</v>
      </c>
      <c r="AC48" s="1" t="s">
        <v>22</v>
      </c>
      <c r="AD48" s="14">
        <v>100</v>
      </c>
      <c r="AE48" s="2">
        <f>(AD48/B5)^2</f>
        <v>16</v>
      </c>
      <c r="AF48" s="14">
        <f t="shared" si="18"/>
        <v>256</v>
      </c>
      <c r="AG48" s="2">
        <f>AG41</f>
        <v>1.44</v>
      </c>
      <c r="AH48" s="14">
        <f>AH41</f>
        <v>5.957142857142857</v>
      </c>
      <c r="AI48" s="2">
        <f>AI41</f>
        <v>5.128775510204081</v>
      </c>
      <c r="AJ48" s="14">
        <f>AJ41</f>
        <v>4.189285714285715</v>
      </c>
      <c r="AK48" s="2">
        <f>10*LOG(AF48^2/((AF48-AI41*AE48+AG41)^2+AE48*(AJ41*AE48-AH41)^2))</f>
        <v>-1.3984946373692915</v>
      </c>
      <c r="AL48" s="13" t="s">
        <v>22</v>
      </c>
      <c r="AM48" s="2">
        <f t="shared" si="19"/>
        <v>0.09411274256487578</v>
      </c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2">
        <f>A41</f>
        <v>1.8</v>
      </c>
      <c r="B49" s="14">
        <f>B41</f>
        <v>0.6</v>
      </c>
      <c r="C49" s="2">
        <f>C41</f>
        <v>1</v>
      </c>
      <c r="D49" s="14">
        <v>125</v>
      </c>
      <c r="E49" s="2">
        <f t="shared" si="0"/>
        <v>2.752</v>
      </c>
      <c r="F49" s="14">
        <f t="shared" si="1"/>
        <v>8.219283105322134</v>
      </c>
      <c r="G49" s="2">
        <f t="shared" si="2"/>
        <v>0.11363717452775846</v>
      </c>
      <c r="H49" s="14">
        <f t="shared" si="3"/>
        <v>2.739761035107378</v>
      </c>
      <c r="I49" s="2">
        <f t="shared" si="4"/>
        <v>0.14275139892805558</v>
      </c>
      <c r="J49" s="14">
        <f t="shared" si="5"/>
        <v>4.56626839184563</v>
      </c>
      <c r="K49" s="2">
        <f t="shared" si="6"/>
        <v>-0.2166634291234094</v>
      </c>
      <c r="L49" s="14">
        <f t="shared" si="7"/>
        <v>8.663885115519856</v>
      </c>
      <c r="M49" s="2">
        <f t="shared" si="8"/>
        <v>0.07959112195330864</v>
      </c>
      <c r="N49" s="14">
        <f t="shared" si="9"/>
        <v>9.402522097384422</v>
      </c>
      <c r="O49" s="2">
        <f t="shared" si="10"/>
        <v>0.0023668145516112997</v>
      </c>
      <c r="P49" s="14">
        <f t="shared" si="11"/>
        <v>5.325138266360895</v>
      </c>
      <c r="Q49" s="2">
        <f t="shared" si="12"/>
        <v>-0.1536241698812185</v>
      </c>
      <c r="R49" s="14">
        <f t="shared" si="13"/>
        <v>9.793554631557175</v>
      </c>
      <c r="S49" s="2">
        <f t="shared" si="14"/>
        <v>-0.036807332163723304</v>
      </c>
      <c r="T49" s="14">
        <v>1</v>
      </c>
      <c r="U49" s="2">
        <f t="shared" si="15"/>
        <v>0.9312515787923827</v>
      </c>
      <c r="V49" s="14">
        <f t="shared" si="16"/>
        <v>-0.30932977964199815</v>
      </c>
      <c r="W49" s="1" t="s">
        <v>22</v>
      </c>
      <c r="X49" s="14">
        <v>125</v>
      </c>
      <c r="Y49" s="2">
        <f>(125/B13)^2</f>
        <v>8.333333333333336</v>
      </c>
      <c r="Z49" s="14">
        <f>10*LOG(Y49^2/((Y49-1)^2+Y49/B12^2))</f>
        <v>-1.5232719695883992</v>
      </c>
      <c r="AA49" s="1" t="s">
        <v>22</v>
      </c>
      <c r="AB49" s="14">
        <f t="shared" si="17"/>
        <v>-1.8326017492303972</v>
      </c>
      <c r="AC49" s="1" t="s">
        <v>22</v>
      </c>
      <c r="AD49" s="14">
        <v>125</v>
      </c>
      <c r="AE49" s="2">
        <f>(AD49/B5)^2</f>
        <v>25</v>
      </c>
      <c r="AF49" s="14">
        <f t="shared" si="18"/>
        <v>625</v>
      </c>
      <c r="AG49" s="2">
        <f>AG41</f>
        <v>1.44</v>
      </c>
      <c r="AH49" s="14">
        <f>AH41</f>
        <v>5.957142857142857</v>
      </c>
      <c r="AI49" s="2">
        <f>AI41</f>
        <v>5.128775510204081</v>
      </c>
      <c r="AJ49" s="14">
        <f>AJ41</f>
        <v>4.189285714285715</v>
      </c>
      <c r="AK49" s="2">
        <f>10*LOG(AF49^2/((AF49-AI41*AE49+AG41)^2+AE49*(AJ41*AE49-AH41)^2))</f>
        <v>-1.0032535989698483</v>
      </c>
      <c r="AL49" s="13" t="s">
        <v>22</v>
      </c>
      <c r="AM49" s="2">
        <f t="shared" si="19"/>
        <v>-1.3125833786118464</v>
      </c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2">
        <f>A41</f>
        <v>1.8</v>
      </c>
      <c r="B50" s="14">
        <f>B41</f>
        <v>0.6</v>
      </c>
      <c r="C50" s="2">
        <f>C41</f>
        <v>1</v>
      </c>
      <c r="D50" s="14">
        <v>160</v>
      </c>
      <c r="E50" s="2">
        <f t="shared" si="0"/>
        <v>2.15</v>
      </c>
      <c r="F50" s="14">
        <f t="shared" si="1"/>
        <v>10.520682374812331</v>
      </c>
      <c r="G50" s="2">
        <f t="shared" si="2"/>
        <v>-0.08453274390373212</v>
      </c>
      <c r="H50" s="14">
        <f t="shared" si="3"/>
        <v>3.5068941249374435</v>
      </c>
      <c r="I50" s="2">
        <f t="shared" si="4"/>
        <v>-0.10186531930373148</v>
      </c>
      <c r="J50" s="14">
        <f t="shared" si="5"/>
        <v>5.844823541562406</v>
      </c>
      <c r="K50" s="2">
        <f t="shared" si="6"/>
        <v>-0.0726209603861456</v>
      </c>
      <c r="L50" s="14">
        <f t="shared" si="7"/>
        <v>11.089772947865415</v>
      </c>
      <c r="M50" s="2">
        <f t="shared" si="8"/>
        <v>-0.08977339667975792</v>
      </c>
      <c r="N50" s="14">
        <f t="shared" si="9"/>
        <v>12.035228284652058</v>
      </c>
      <c r="O50" s="2">
        <f t="shared" si="10"/>
        <v>-0.0420863326659999</v>
      </c>
      <c r="P50" s="14">
        <f t="shared" si="11"/>
        <v>6.816176980941945</v>
      </c>
      <c r="Q50" s="2">
        <f t="shared" si="12"/>
        <v>0.07454505858073755</v>
      </c>
      <c r="R50" s="14">
        <f t="shared" si="13"/>
        <v>12.535749928393184</v>
      </c>
      <c r="S50" s="2">
        <f t="shared" si="14"/>
        <v>-0.002442287157760621</v>
      </c>
      <c r="T50" s="14">
        <v>1</v>
      </c>
      <c r="U50" s="2">
        <f t="shared" si="15"/>
        <v>0.6812240184836099</v>
      </c>
      <c r="V50" s="14">
        <f t="shared" si="16"/>
        <v>-1.667100481565822</v>
      </c>
      <c r="W50" s="1" t="s">
        <v>22</v>
      </c>
      <c r="X50" s="14">
        <v>160</v>
      </c>
      <c r="Y50" s="2">
        <f>(160/B13)^2</f>
        <v>13.653333333333336</v>
      </c>
      <c r="Z50" s="14">
        <f>10*LOG(Y50^2/((Y50-1)^2+Y50/B12^2))</f>
        <v>-0.9795126209079628</v>
      </c>
      <c r="AA50" s="1" t="s">
        <v>22</v>
      </c>
      <c r="AB50" s="14">
        <f t="shared" si="17"/>
        <v>-2.6466131024737845</v>
      </c>
      <c r="AC50" s="1" t="s">
        <v>22</v>
      </c>
      <c r="AD50" s="14">
        <v>160</v>
      </c>
      <c r="AE50" s="2">
        <f>(AD50/B5)^2</f>
        <v>40.96000000000001</v>
      </c>
      <c r="AF50" s="14">
        <f t="shared" si="18"/>
        <v>1677.7216000000008</v>
      </c>
      <c r="AG50" s="2">
        <f>AG41</f>
        <v>1.44</v>
      </c>
      <c r="AH50" s="14">
        <f>AH41</f>
        <v>5.957142857142857</v>
      </c>
      <c r="AI50" s="2">
        <f>AI41</f>
        <v>5.128775510204081</v>
      </c>
      <c r="AJ50" s="14">
        <f>AJ41</f>
        <v>4.189285714285715</v>
      </c>
      <c r="AK50" s="2">
        <f>10*LOG(AF50^2/((AF50-AI41*AE50+AG41)^2+AE50*(AJ41*AE50-AH41)^2))</f>
        <v>-0.6669425061419141</v>
      </c>
      <c r="AL50" s="13" t="s">
        <v>22</v>
      </c>
      <c r="AM50" s="2">
        <f t="shared" si="19"/>
        <v>-2.334042987707736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2">
        <f>A41</f>
        <v>1.8</v>
      </c>
      <c r="B51" s="14">
        <f>B41</f>
        <v>0.6</v>
      </c>
      <c r="C51" s="2">
        <f>C41</f>
        <v>1</v>
      </c>
      <c r="D51" s="14">
        <v>200</v>
      </c>
      <c r="E51" s="2">
        <f t="shared" si="0"/>
        <v>1.72</v>
      </c>
      <c r="F51" s="14">
        <f t="shared" si="1"/>
        <v>13.150852968515414</v>
      </c>
      <c r="G51" s="2">
        <f t="shared" si="2"/>
        <v>0.04195680250485948</v>
      </c>
      <c r="H51" s="14">
        <f t="shared" si="3"/>
        <v>4.383617656171804</v>
      </c>
      <c r="I51" s="2">
        <f t="shared" si="4"/>
        <v>-0.21590381447275475</v>
      </c>
      <c r="J51" s="14">
        <f t="shared" si="5"/>
        <v>7.306029426953008</v>
      </c>
      <c r="K51" s="2">
        <f t="shared" si="6"/>
        <v>0.11683406117806167</v>
      </c>
      <c r="L51" s="14">
        <f t="shared" si="7"/>
        <v>13.862216184831768</v>
      </c>
      <c r="M51" s="2">
        <f t="shared" si="8"/>
        <v>0.06942891061562567</v>
      </c>
      <c r="N51" s="14">
        <f t="shared" si="9"/>
        <v>15.044035355815073</v>
      </c>
      <c r="O51" s="2">
        <f t="shared" si="10"/>
        <v>0.040960760843944934</v>
      </c>
      <c r="P51" s="14">
        <f t="shared" si="11"/>
        <v>8.520221226177432</v>
      </c>
      <c r="Q51" s="2">
        <f t="shared" si="12"/>
        <v>0.0922688810750095</v>
      </c>
      <c r="R51" s="14">
        <f t="shared" si="13"/>
        <v>15.669687410491479</v>
      </c>
      <c r="S51" s="2">
        <f t="shared" si="14"/>
        <v>0.002442072466913869</v>
      </c>
      <c r="T51" s="14">
        <v>1</v>
      </c>
      <c r="U51" s="2">
        <f t="shared" si="15"/>
        <v>1.1479876742116604</v>
      </c>
      <c r="V51" s="14">
        <f t="shared" si="16"/>
        <v>0.5993722512589352</v>
      </c>
      <c r="W51" s="1" t="s">
        <v>22</v>
      </c>
      <c r="X51" s="14">
        <v>200</v>
      </c>
      <c r="Y51" s="2">
        <f>(200/B13)^2</f>
        <v>21.333333333333332</v>
      </c>
      <c r="Z51" s="14">
        <f>10*LOG(Y51^2/((Y51-1)^2+Y51/B12^2))</f>
        <v>-0.6471414402346662</v>
      </c>
      <c r="AA51" s="1" t="s">
        <v>22</v>
      </c>
      <c r="AB51" s="14">
        <f t="shared" si="17"/>
        <v>-0.047769188975731014</v>
      </c>
      <c r="AC51" s="1" t="s">
        <v>22</v>
      </c>
      <c r="AD51" s="14">
        <v>200</v>
      </c>
      <c r="AE51" s="2">
        <f>(AD51/B5)^2</f>
        <v>64</v>
      </c>
      <c r="AF51" s="14">
        <f t="shared" si="18"/>
        <v>4096</v>
      </c>
      <c r="AG51" s="2">
        <f>AG41</f>
        <v>1.44</v>
      </c>
      <c r="AH51" s="14">
        <f>AH41</f>
        <v>5.957142857142857</v>
      </c>
      <c r="AI51" s="2">
        <f>AI41</f>
        <v>5.128775510204081</v>
      </c>
      <c r="AJ51" s="14">
        <f>AJ41</f>
        <v>4.189285714285715</v>
      </c>
      <c r="AK51" s="2">
        <f>10*LOG(AF51^2/((AF51-AI41*AE51+AG41)^2+AE51*(AJ41*AE51-AH41)^2))</f>
        <v>-0.44917804933304395</v>
      </c>
      <c r="AL51" s="13" t="s">
        <v>22</v>
      </c>
      <c r="AM51" s="2">
        <f t="shared" si="19"/>
        <v>0.15019420192589128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2">
        <f>A41</f>
        <v>1.8</v>
      </c>
      <c r="B52" s="14">
        <f>B41</f>
        <v>0.6</v>
      </c>
      <c r="C52" s="2">
        <f>C41</f>
        <v>1</v>
      </c>
      <c r="D52" s="14">
        <v>250</v>
      </c>
      <c r="E52" s="2">
        <f t="shared" si="0"/>
        <v>1.376</v>
      </c>
      <c r="F52" s="14">
        <f t="shared" si="1"/>
        <v>16.438566210644268</v>
      </c>
      <c r="G52" s="2">
        <f t="shared" si="2"/>
        <v>-0.040594708971037834</v>
      </c>
      <c r="H52" s="14">
        <f t="shared" si="3"/>
        <v>5.479522070214756</v>
      </c>
      <c r="I52" s="2">
        <f t="shared" si="4"/>
        <v>-0.13138070520259457</v>
      </c>
      <c r="J52" s="14">
        <f t="shared" si="5"/>
        <v>9.13253678369126</v>
      </c>
      <c r="K52" s="2">
        <f t="shared" si="6"/>
        <v>0.031546448285838864</v>
      </c>
      <c r="L52" s="14">
        <f t="shared" si="7"/>
        <v>17.32777023103971</v>
      </c>
      <c r="M52" s="2">
        <f t="shared" si="8"/>
        <v>-0.057641531820706</v>
      </c>
      <c r="N52" s="14">
        <f t="shared" si="9"/>
        <v>18.805044194768843</v>
      </c>
      <c r="O52" s="2">
        <f t="shared" si="10"/>
        <v>-0.0023662284064256515</v>
      </c>
      <c r="P52" s="14">
        <f t="shared" si="11"/>
        <v>10.65027653272179</v>
      </c>
      <c r="Q52" s="2">
        <f t="shared" si="12"/>
        <v>-0.08835213886716363</v>
      </c>
      <c r="R52" s="14">
        <f t="shared" si="13"/>
        <v>19.58710926311435</v>
      </c>
      <c r="S52" s="2">
        <f t="shared" si="14"/>
        <v>0.034332739246403586</v>
      </c>
      <c r="T52" s="14">
        <v>1</v>
      </c>
      <c r="U52" s="2">
        <f t="shared" si="15"/>
        <v>0.7455438742643148</v>
      </c>
      <c r="V52" s="14">
        <f t="shared" si="16"/>
        <v>-1.2752679380693985</v>
      </c>
      <c r="W52" s="1" t="s">
        <v>22</v>
      </c>
      <c r="X52" s="14">
        <v>250</v>
      </c>
      <c r="Y52" s="2">
        <f>(250/B13)^2</f>
        <v>33.33333333333334</v>
      </c>
      <c r="Z52" s="14">
        <f>10*LOG(Y52^2/((Y52-1)^2+Y52/B12^2))</f>
        <v>-0.42312320416138244</v>
      </c>
      <c r="AA52" s="1" t="s">
        <v>22</v>
      </c>
      <c r="AB52" s="14">
        <f t="shared" si="17"/>
        <v>-1.698391142230781</v>
      </c>
      <c r="AC52" s="1" t="s">
        <v>22</v>
      </c>
      <c r="AD52" s="14">
        <v>250</v>
      </c>
      <c r="AE52" s="2">
        <f>(AD52/B5)^2</f>
        <v>100</v>
      </c>
      <c r="AF52" s="14">
        <f t="shared" si="18"/>
        <v>10000</v>
      </c>
      <c r="AG52" s="2">
        <f>AG41</f>
        <v>1.44</v>
      </c>
      <c r="AH52" s="14">
        <f>AH41</f>
        <v>5.957142857142857</v>
      </c>
      <c r="AI52" s="2">
        <f>AI41</f>
        <v>5.128775510204081</v>
      </c>
      <c r="AJ52" s="14">
        <f>AJ41</f>
        <v>4.189285714285715</v>
      </c>
      <c r="AK52" s="2">
        <f>10*LOG(AF52^2/((AF52-AI41*AE52+AG41)^2+AE52*(AJ41*AE52-AH41)^2))</f>
        <v>-0.2973820171364739</v>
      </c>
      <c r="AL52" s="13" t="s">
        <v>22</v>
      </c>
      <c r="AM52" s="2">
        <f t="shared" si="19"/>
        <v>-1.5726499552058724</v>
      </c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2">
        <f>A41</f>
        <v>1.8</v>
      </c>
      <c r="B53" s="14">
        <f>B41</f>
        <v>0.6</v>
      </c>
      <c r="C53" s="2">
        <f>C41</f>
        <v>1</v>
      </c>
      <c r="D53" s="14">
        <v>315</v>
      </c>
      <c r="E53" s="2">
        <f t="shared" si="0"/>
        <v>1.092063492063492</v>
      </c>
      <c r="F53" s="14">
        <f t="shared" si="1"/>
        <v>20.71259342541178</v>
      </c>
      <c r="G53" s="2">
        <f t="shared" si="2"/>
        <v>0.046232771543400664</v>
      </c>
      <c r="H53" s="14">
        <f t="shared" si="3"/>
        <v>6.904197808470593</v>
      </c>
      <c r="I53" s="2">
        <f t="shared" si="4"/>
        <v>0.08427610733343772</v>
      </c>
      <c r="J53" s="14">
        <f t="shared" si="5"/>
        <v>11.506996347450988</v>
      </c>
      <c r="K53" s="2">
        <f t="shared" si="6"/>
        <v>-0.07578427782650526</v>
      </c>
      <c r="L53" s="14">
        <f t="shared" si="7"/>
        <v>21.83299049111004</v>
      </c>
      <c r="M53" s="2">
        <f t="shared" si="8"/>
        <v>0.00721383301752571</v>
      </c>
      <c r="N53" s="14">
        <f t="shared" si="9"/>
        <v>23.69435568540874</v>
      </c>
      <c r="O53" s="2">
        <f t="shared" si="10"/>
        <v>-0.04183470974740536</v>
      </c>
      <c r="P53" s="14">
        <f t="shared" si="11"/>
        <v>13.419348431229455</v>
      </c>
      <c r="Q53" s="2">
        <f t="shared" si="12"/>
        <v>0.056131069559367176</v>
      </c>
      <c r="R53" s="14">
        <f t="shared" si="13"/>
        <v>24.67975767152408</v>
      </c>
      <c r="S53" s="2">
        <f t="shared" si="14"/>
        <v>-0.01773316154212587</v>
      </c>
      <c r="T53" s="14">
        <v>1</v>
      </c>
      <c r="U53" s="2">
        <f t="shared" si="15"/>
        <v>1.0585016323376948</v>
      </c>
      <c r="V53" s="14">
        <f t="shared" si="16"/>
        <v>0.24691532090628554</v>
      </c>
      <c r="W53" s="1" t="s">
        <v>22</v>
      </c>
      <c r="X53" s="14">
        <v>315</v>
      </c>
      <c r="Y53" s="2">
        <f>(315/B13)^2</f>
        <v>52.92000000000001</v>
      </c>
      <c r="Z53" s="14">
        <f>10*LOG(Y53^2/((Y53-1)^2+Y53/B12^2))</f>
        <v>-0.2704246454726667</v>
      </c>
      <c r="AA53" s="1" t="s">
        <v>22</v>
      </c>
      <c r="AB53" s="14">
        <f t="shared" si="17"/>
        <v>-0.023509324566381162</v>
      </c>
      <c r="AC53" s="1" t="s">
        <v>22</v>
      </c>
      <c r="AD53" s="14">
        <v>315</v>
      </c>
      <c r="AE53" s="2">
        <f>(AD53/B5)^2</f>
        <v>158.76</v>
      </c>
      <c r="AF53" s="14">
        <f t="shared" si="18"/>
        <v>25204.737599999997</v>
      </c>
      <c r="AG53" s="2">
        <f>AG41</f>
        <v>1.44</v>
      </c>
      <c r="AH53" s="14">
        <f>AH41</f>
        <v>5.957142857142857</v>
      </c>
      <c r="AI53" s="2">
        <f>AI41</f>
        <v>5.128775510204081</v>
      </c>
      <c r="AJ53" s="14">
        <f>AJ41</f>
        <v>4.189285714285715</v>
      </c>
      <c r="AK53" s="2">
        <f>10*LOG(AF53^2/((AF53-AI41*AE53+AG41)^2+AE53*(AJ41*AE53-AH41)^2))</f>
        <v>-0.19165041386456427</v>
      </c>
      <c r="AL53" s="13" t="s">
        <v>22</v>
      </c>
      <c r="AM53" s="2">
        <f t="shared" si="19"/>
        <v>0.05526490704172127</v>
      </c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2">
        <f>A41</f>
        <v>1.8</v>
      </c>
      <c r="B54" s="14">
        <f>B41</f>
        <v>0.6</v>
      </c>
      <c r="C54" s="2">
        <f>C41</f>
        <v>1</v>
      </c>
      <c r="D54" s="14">
        <v>400</v>
      </c>
      <c r="E54" s="2">
        <f t="shared" si="0"/>
        <v>0.86</v>
      </c>
      <c r="F54" s="14">
        <f t="shared" si="1"/>
        <v>26.301705937030828</v>
      </c>
      <c r="G54" s="2">
        <f t="shared" si="2"/>
        <v>0.03499188173468937</v>
      </c>
      <c r="H54" s="14">
        <f t="shared" si="3"/>
        <v>8.767235312343608</v>
      </c>
      <c r="I54" s="2">
        <f t="shared" si="4"/>
        <v>0.06971111100866237</v>
      </c>
      <c r="J54" s="14">
        <f t="shared" si="5"/>
        <v>14.612058853906015</v>
      </c>
      <c r="K54" s="2">
        <f t="shared" si="6"/>
        <v>0.0608635756106871</v>
      </c>
      <c r="L54" s="14">
        <f t="shared" si="7"/>
        <v>27.724432369663536</v>
      </c>
      <c r="M54" s="2">
        <f t="shared" si="8"/>
        <v>0.018849917521921077</v>
      </c>
      <c r="N54" s="14">
        <f t="shared" si="9"/>
        <v>30.088070711630145</v>
      </c>
      <c r="O54" s="2">
        <f t="shared" si="10"/>
        <v>-0.03225978895847805</v>
      </c>
      <c r="P54" s="14">
        <f t="shared" si="11"/>
        <v>17.040442452354863</v>
      </c>
      <c r="Q54" s="2">
        <f t="shared" si="12"/>
        <v>-0.05702531619324198</v>
      </c>
      <c r="R54" s="14">
        <f t="shared" si="13"/>
        <v>31.339374820982957</v>
      </c>
      <c r="S54" s="2">
        <f t="shared" si="14"/>
        <v>-0.002440283816833398</v>
      </c>
      <c r="T54" s="14">
        <v>1</v>
      </c>
      <c r="U54" s="2">
        <f t="shared" si="15"/>
        <v>1.0926910969074064</v>
      </c>
      <c r="V54" s="14">
        <f t="shared" si="16"/>
        <v>0.3849740452104394</v>
      </c>
      <c r="W54" s="1" t="s">
        <v>22</v>
      </c>
      <c r="X54" s="14">
        <v>400</v>
      </c>
      <c r="Y54" s="2">
        <f>(400/B13)^2</f>
        <v>85.33333333333333</v>
      </c>
      <c r="Z54" s="14">
        <f>10*LOG(Y54^2/((Y54-1)^2+Y54/B12^2))</f>
        <v>-0.16932734367771315</v>
      </c>
      <c r="AA54" s="1" t="s">
        <v>22</v>
      </c>
      <c r="AB54" s="14">
        <f t="shared" si="17"/>
        <v>0.21564670153272622</v>
      </c>
      <c r="AC54" s="1" t="s">
        <v>22</v>
      </c>
      <c r="AD54" s="14">
        <v>400</v>
      </c>
      <c r="AE54" s="2">
        <f>(AD54/B5)^2</f>
        <v>256</v>
      </c>
      <c r="AF54" s="14">
        <f t="shared" si="18"/>
        <v>65536</v>
      </c>
      <c r="AG54" s="2">
        <f>AG41</f>
        <v>1.44</v>
      </c>
      <c r="AH54" s="14">
        <f>AH41</f>
        <v>5.957142857142857</v>
      </c>
      <c r="AI54" s="2">
        <f>AI41</f>
        <v>5.128775510204081</v>
      </c>
      <c r="AJ54" s="14">
        <f>AJ41</f>
        <v>4.189285714285715</v>
      </c>
      <c r="AK54" s="2">
        <f>10*LOG(AF54^2/((AF54-AI41*AE54+AG41)^2+AE54*(AJ41*AE54-AH41)^2))</f>
        <v>-0.12065573364489433</v>
      </c>
      <c r="AL54" s="13" t="s">
        <v>22</v>
      </c>
      <c r="AM54" s="2">
        <f t="shared" si="19"/>
        <v>0.264318311565545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2">
        <f>A41</f>
        <v>1.8</v>
      </c>
      <c r="B55" s="14">
        <f>B41</f>
        <v>0.6</v>
      </c>
      <c r="C55" s="2">
        <f>C41</f>
        <v>1</v>
      </c>
      <c r="D55" s="14">
        <v>500</v>
      </c>
      <c r="E55" s="2">
        <f t="shared" si="0"/>
        <v>0.688</v>
      </c>
      <c r="F55" s="14">
        <f t="shared" si="1"/>
        <v>32.877132421288536</v>
      </c>
      <c r="G55" s="2">
        <f t="shared" si="2"/>
        <v>0.0302338100082084</v>
      </c>
      <c r="H55" s="14">
        <f t="shared" si="3"/>
        <v>10.959044140429512</v>
      </c>
      <c r="I55" s="2">
        <f t="shared" si="4"/>
        <v>-0.09118795723101021</v>
      </c>
      <c r="J55" s="14">
        <f t="shared" si="5"/>
        <v>18.26507356738252</v>
      </c>
      <c r="K55" s="2">
        <f t="shared" si="6"/>
        <v>-0.030208897803498808</v>
      </c>
      <c r="L55" s="14">
        <f t="shared" si="7"/>
        <v>34.65554046207942</v>
      </c>
      <c r="M55" s="2">
        <f t="shared" si="8"/>
        <v>-0.00282391730648558</v>
      </c>
      <c r="N55" s="14">
        <f t="shared" si="9"/>
        <v>37.61008838953769</v>
      </c>
      <c r="O55" s="2">
        <f t="shared" si="10"/>
        <v>-0.0023638846965695834</v>
      </c>
      <c r="P55" s="14">
        <f t="shared" si="11"/>
        <v>21.30055306544358</v>
      </c>
      <c r="Q55" s="2">
        <f t="shared" si="12"/>
        <v>0.029905155600466964</v>
      </c>
      <c r="R55" s="14">
        <f t="shared" si="13"/>
        <v>39.1742185262287</v>
      </c>
      <c r="S55" s="2">
        <f t="shared" si="14"/>
        <v>0.025410213038931727</v>
      </c>
      <c r="T55" s="14">
        <v>1</v>
      </c>
      <c r="U55" s="2">
        <f t="shared" si="15"/>
        <v>0.9589645216100429</v>
      </c>
      <c r="V55" s="14">
        <f t="shared" si="16"/>
        <v>-0.181974599346591</v>
      </c>
      <c r="W55" s="1" t="s">
        <v>22</v>
      </c>
      <c r="X55" s="14">
        <v>500</v>
      </c>
      <c r="Y55" s="2">
        <f>(500/B13)^2</f>
        <v>133.33333333333337</v>
      </c>
      <c r="Z55" s="14">
        <f>10*LOG(Y55^2/((Y55-1)^2+Y55/B12^2))</f>
        <v>-0.10899323069482159</v>
      </c>
      <c r="AA55" s="1" t="s">
        <v>22</v>
      </c>
      <c r="AB55" s="14">
        <f t="shared" si="17"/>
        <v>-0.2909678300414126</v>
      </c>
      <c r="AC55" s="1" t="s">
        <v>22</v>
      </c>
      <c r="AD55" s="14">
        <v>500</v>
      </c>
      <c r="AE55" s="2">
        <f>(AD55/B5)^2</f>
        <v>400</v>
      </c>
      <c r="AF55" s="14">
        <f t="shared" si="18"/>
        <v>160000</v>
      </c>
      <c r="AG55" s="2">
        <f>AG41</f>
        <v>1.44</v>
      </c>
      <c r="AH55" s="14">
        <f>AH41</f>
        <v>5.957142857142857</v>
      </c>
      <c r="AI55" s="2">
        <f>AI41</f>
        <v>5.128775510204081</v>
      </c>
      <c r="AJ55" s="14">
        <f>AJ41</f>
        <v>4.189285714285715</v>
      </c>
      <c r="AK55" s="2">
        <f>10*LOG(AF55^2/((AF55-AI41*AE55+AG41)^2+AE55*(AJ41*AE55-AH41)^2))</f>
        <v>-0.07791368724660729</v>
      </c>
      <c r="AL55" s="13" t="s">
        <v>22</v>
      </c>
      <c r="AM55" s="2">
        <f t="shared" si="19"/>
        <v>-0.2598882865931983</v>
      </c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2">
        <f>A41</f>
        <v>1.8</v>
      </c>
      <c r="B56" s="14">
        <f>B41</f>
        <v>0.6</v>
      </c>
      <c r="C56" s="2">
        <f>C41</f>
        <v>1</v>
      </c>
      <c r="D56" s="14">
        <v>630</v>
      </c>
      <c r="E56" s="2">
        <f t="shared" si="0"/>
        <v>0.546031746031746</v>
      </c>
      <c r="F56" s="14">
        <f t="shared" si="1"/>
        <v>41.42518685082356</v>
      </c>
      <c r="G56" s="2">
        <f t="shared" si="2"/>
        <v>-0.01331961984281262</v>
      </c>
      <c r="H56" s="14">
        <f t="shared" si="3"/>
        <v>13.808395616941185</v>
      </c>
      <c r="I56" s="2">
        <f t="shared" si="4"/>
        <v>0.06854089348341423</v>
      </c>
      <c r="J56" s="14">
        <f t="shared" si="5"/>
        <v>23.013992694901976</v>
      </c>
      <c r="K56" s="2">
        <f t="shared" si="6"/>
        <v>-0.03709017815176566</v>
      </c>
      <c r="L56" s="14">
        <f t="shared" si="7"/>
        <v>43.66598098222008</v>
      </c>
      <c r="M56" s="2">
        <f t="shared" si="8"/>
        <v>-0.007123797595418174</v>
      </c>
      <c r="N56" s="14">
        <f t="shared" si="9"/>
        <v>47.38871137081748</v>
      </c>
      <c r="O56" s="2">
        <f t="shared" si="10"/>
        <v>-0.005523194280476696</v>
      </c>
      <c r="P56" s="14">
        <f t="shared" si="11"/>
        <v>26.83869686245891</v>
      </c>
      <c r="Q56" s="2">
        <f t="shared" si="12"/>
        <v>0.03691982075498571</v>
      </c>
      <c r="R56" s="14">
        <f t="shared" si="13"/>
        <v>49.35951534304816</v>
      </c>
      <c r="S56" s="2">
        <f t="shared" si="14"/>
        <v>-0.015944689777158006</v>
      </c>
      <c r="T56" s="14">
        <v>1</v>
      </c>
      <c r="U56" s="2">
        <f t="shared" si="15"/>
        <v>1.0264592345907688</v>
      </c>
      <c r="V56" s="14">
        <f t="shared" si="16"/>
        <v>0.11341706221141262</v>
      </c>
      <c r="W56" s="1" t="s">
        <v>22</v>
      </c>
      <c r="X56" s="14">
        <v>630</v>
      </c>
      <c r="Y56" s="2">
        <f>(630/B13)^2</f>
        <v>211.68000000000004</v>
      </c>
      <c r="Z56" s="14">
        <f>10*LOG(Y56^2/((Y56-1)^2+Y56/B12^2))</f>
        <v>-0.06891492286012334</v>
      </c>
      <c r="AA56" s="1" t="s">
        <v>22</v>
      </c>
      <c r="AB56" s="14">
        <f t="shared" si="17"/>
        <v>0.044502139351289285</v>
      </c>
      <c r="AC56" s="1" t="s">
        <v>22</v>
      </c>
      <c r="AD56" s="14">
        <v>630</v>
      </c>
      <c r="AE56" s="2">
        <f>(AD56/B5)^2</f>
        <v>635.04</v>
      </c>
      <c r="AF56" s="14">
        <f t="shared" si="18"/>
        <v>403275.80159999995</v>
      </c>
      <c r="AG56" s="2">
        <f>AG41</f>
        <v>1.44</v>
      </c>
      <c r="AH56" s="14">
        <f>AH41</f>
        <v>5.957142857142857</v>
      </c>
      <c r="AI56" s="2">
        <f>AI41</f>
        <v>5.128775510204081</v>
      </c>
      <c r="AJ56" s="14">
        <f>AJ41</f>
        <v>4.189285714285715</v>
      </c>
      <c r="AK56" s="2">
        <f>10*LOG(AF56^2/((AF56-AI41*AE56+AG41)^2+AE56*(AJ41*AE56-AH41)^2))</f>
        <v>-0.04936823328935683</v>
      </c>
      <c r="AL56" s="13" t="s">
        <v>22</v>
      </c>
      <c r="AM56" s="2">
        <f t="shared" si="19"/>
        <v>0.0640488289220558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2">
        <f>A41</f>
        <v>1.8</v>
      </c>
      <c r="B57" s="14">
        <f>B41</f>
        <v>0.6</v>
      </c>
      <c r="C57" s="2">
        <f>C41</f>
        <v>1</v>
      </c>
      <c r="D57" s="14">
        <v>800</v>
      </c>
      <c r="E57" s="2">
        <f t="shared" si="0"/>
        <v>0.43</v>
      </c>
      <c r="F57" s="14">
        <f t="shared" si="1"/>
        <v>52.603411874061656</v>
      </c>
      <c r="G57" s="2">
        <f t="shared" si="2"/>
        <v>0.013685490125270245</v>
      </c>
      <c r="H57" s="14">
        <f t="shared" si="3"/>
        <v>17.534470624687216</v>
      </c>
      <c r="I57" s="2">
        <f t="shared" si="4"/>
        <v>-0.05517609956785814</v>
      </c>
      <c r="J57" s="14">
        <f t="shared" si="5"/>
        <v>29.22411770781203</v>
      </c>
      <c r="K57" s="2">
        <f t="shared" si="6"/>
        <v>-0.027829402716858128</v>
      </c>
      <c r="L57" s="14">
        <f t="shared" si="7"/>
        <v>55.44886473932707</v>
      </c>
      <c r="M57" s="2">
        <f t="shared" si="8"/>
        <v>-0.01607098720591407</v>
      </c>
      <c r="N57" s="14">
        <f t="shared" si="9"/>
        <v>60.17614142326029</v>
      </c>
      <c r="O57" s="2">
        <f t="shared" si="10"/>
        <v>-0.007760344390250451</v>
      </c>
      <c r="P57" s="14">
        <f t="shared" si="11"/>
        <v>34.08088490470973</v>
      </c>
      <c r="Q57" s="2">
        <f t="shared" si="12"/>
        <v>0.013461833359769035</v>
      </c>
      <c r="R57" s="14">
        <f t="shared" si="13"/>
        <v>62.678749641965915</v>
      </c>
      <c r="S57" s="2">
        <f t="shared" si="14"/>
        <v>-0.0024331370749712568</v>
      </c>
      <c r="T57" s="14">
        <v>1</v>
      </c>
      <c r="U57" s="2">
        <f t="shared" si="15"/>
        <v>0.9178773525291872</v>
      </c>
      <c r="V57" s="14">
        <f t="shared" si="16"/>
        <v>-0.37215345681434925</v>
      </c>
      <c r="W57" s="1" t="s">
        <v>22</v>
      </c>
      <c r="X57" s="14">
        <v>800</v>
      </c>
      <c r="Y57" s="2">
        <f>(800/B13)^2</f>
        <v>341.3333333333333</v>
      </c>
      <c r="Z57" s="14">
        <f>10*LOG(Y57^2/((Y57-1)^2+Y57/B12^2))</f>
        <v>-0.04284404891468781</v>
      </c>
      <c r="AA57" s="1" t="s">
        <v>22</v>
      </c>
      <c r="AB57" s="14">
        <f t="shared" si="17"/>
        <v>-0.41499750572903704</v>
      </c>
      <c r="AC57" s="1" t="s">
        <v>22</v>
      </c>
      <c r="AD57" s="14">
        <v>800</v>
      </c>
      <c r="AE57" s="2">
        <f>(AD57/B5)^2</f>
        <v>1024</v>
      </c>
      <c r="AF57" s="14">
        <f t="shared" si="18"/>
        <v>1048576</v>
      </c>
      <c r="AG57" s="2">
        <f>AG41</f>
        <v>1.44</v>
      </c>
      <c r="AH57" s="14">
        <f>AH41</f>
        <v>5.957142857142857</v>
      </c>
      <c r="AI57" s="2">
        <f>AI41</f>
        <v>5.128775510204081</v>
      </c>
      <c r="AJ57" s="14">
        <f>AJ41</f>
        <v>4.189285714285715</v>
      </c>
      <c r="AK57" s="2">
        <f>10*LOG(AF57^2/((AF57-AI41*AE57+AG41)^2+AE57*(AJ41*AE57-AH41)^2))</f>
        <v>-0.030734135144238388</v>
      </c>
      <c r="AL57" s="13" t="s">
        <v>22</v>
      </c>
      <c r="AM57" s="2">
        <f t="shared" si="19"/>
        <v>-0.40288759195858764</v>
      </c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2">
        <f>A41</f>
        <v>1.8</v>
      </c>
      <c r="B58" s="14">
        <f>B41</f>
        <v>0.6</v>
      </c>
      <c r="C58" s="2">
        <f>C41</f>
        <v>1</v>
      </c>
      <c r="D58" s="14">
        <v>1000</v>
      </c>
      <c r="E58" s="2">
        <f t="shared" si="0"/>
        <v>0.344</v>
      </c>
      <c r="F58" s="14">
        <f t="shared" si="1"/>
        <v>65.75426484257707</v>
      </c>
      <c r="G58" s="2">
        <f t="shared" si="2"/>
        <v>0.003306708334464759</v>
      </c>
      <c r="H58" s="14">
        <f t="shared" si="3"/>
        <v>21.918088280859024</v>
      </c>
      <c r="I58" s="2">
        <f t="shared" si="4"/>
        <v>0.003330368676571696</v>
      </c>
      <c r="J58" s="14">
        <f t="shared" si="5"/>
        <v>36.53014713476504</v>
      </c>
      <c r="K58" s="2">
        <f t="shared" si="6"/>
        <v>-0.02519415484897633</v>
      </c>
      <c r="L58" s="14">
        <f t="shared" si="7"/>
        <v>69.31108092415884</v>
      </c>
      <c r="M58" s="2">
        <f t="shared" si="8"/>
        <v>0.0028103618267098516</v>
      </c>
      <c r="N58" s="14">
        <f t="shared" si="9"/>
        <v>75.22017677907537</v>
      </c>
      <c r="O58" s="2">
        <f t="shared" si="10"/>
        <v>-0.0023545237809803245</v>
      </c>
      <c r="P58" s="14">
        <f t="shared" si="11"/>
        <v>42.60110613088716</v>
      </c>
      <c r="Q58" s="2">
        <f t="shared" si="12"/>
        <v>-0.0230528920261409</v>
      </c>
      <c r="R58" s="14">
        <f t="shared" si="13"/>
        <v>78.3484370524574</v>
      </c>
      <c r="S58" s="2">
        <f t="shared" si="14"/>
        <v>0.0024277852630509404</v>
      </c>
      <c r="T58" s="14">
        <v>1</v>
      </c>
      <c r="U58" s="2">
        <f t="shared" si="15"/>
        <v>0.9612736534446997</v>
      </c>
      <c r="V58" s="14">
        <f t="shared" si="16"/>
        <v>-0.1715296065306141</v>
      </c>
      <c r="W58" s="1" t="s">
        <v>22</v>
      </c>
      <c r="X58" s="14">
        <v>1000</v>
      </c>
      <c r="Y58" s="2">
        <f>(1000/B13)^2</f>
        <v>533.3333333333335</v>
      </c>
      <c r="Z58" s="14">
        <f>10*LOG(Y58^2/((Y58-1)^2+Y58/B12^2))</f>
        <v>-0.02746030317478847</v>
      </c>
      <c r="AA58" s="1" t="s">
        <v>22</v>
      </c>
      <c r="AB58" s="14">
        <f t="shared" si="17"/>
        <v>-0.1989899097054026</v>
      </c>
      <c r="AC58" s="1" t="s">
        <v>22</v>
      </c>
      <c r="AD58" s="14">
        <v>1000</v>
      </c>
      <c r="AE58" s="2">
        <f>(AD58/B5)^2</f>
        <v>1600</v>
      </c>
      <c r="AF58" s="14">
        <f t="shared" si="18"/>
        <v>2560000</v>
      </c>
      <c r="AG58" s="2">
        <f>AG41</f>
        <v>1.44</v>
      </c>
      <c r="AH58" s="14">
        <f>AH41</f>
        <v>5.957142857142857</v>
      </c>
      <c r="AI58" s="2">
        <f>AI41</f>
        <v>5.128775510204081</v>
      </c>
      <c r="AJ58" s="14">
        <f>AJ41</f>
        <v>4.189285714285715</v>
      </c>
      <c r="AK58" s="2">
        <f>10*LOG(AF58^2/((AF58-AI41*AE58+AG41)^2+AE58*(AJ41*AE58-AH41)^2))</f>
        <v>-0.019714544664684093</v>
      </c>
      <c r="AL58" s="13" t="s">
        <v>22</v>
      </c>
      <c r="AM58" s="2">
        <f t="shared" si="19"/>
        <v>-0.1912441511952982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</sheetData>
  <sheetProtection password="C46C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 Hem-PC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 Olsson</dc:creator>
  <cp:keywords/>
  <dc:description/>
  <cp:lastModifiedBy>Troels Gravesen</cp:lastModifiedBy>
  <dcterms:created xsi:type="dcterms:W3CDTF">2002-01-18T12:16:37Z</dcterms:created>
  <dcterms:modified xsi:type="dcterms:W3CDTF">2009-11-12T10:02:09Z</dcterms:modified>
  <cp:category/>
  <cp:version/>
  <cp:contentType/>
  <cp:contentStatus/>
</cp:coreProperties>
</file>