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9435" tabRatio="400" activeTab="0"/>
  </bookViews>
  <sheets>
    <sheet name="Speaker design" sheetId="1" r:id="rId1"/>
    <sheet name="Help" sheetId="2" r:id="rId2"/>
    <sheet name="Blank page" sheetId="3" r:id="rId3"/>
  </sheets>
  <definedNames>
    <definedName name="_A">'Speaker design'!$R$6</definedName>
    <definedName name="_Am">'Speaker design'!$R$14</definedName>
    <definedName name="_B">'Speaker design'!$R$7</definedName>
    <definedName name="_Bm">'Speaker design'!$R$15</definedName>
    <definedName name="_C">'Speaker design'!$R$8</definedName>
    <definedName name="_CK1">'Speaker design'!$R$28</definedName>
    <definedName name="_CK1mod">'Speaker design'!$R$32</definedName>
    <definedName name="_CK2">'Speaker design'!$R$29</definedName>
    <definedName name="_CK2mod">'Speaker design'!$R$33</definedName>
    <definedName name="_Cm">'Speaker design'!$R$16</definedName>
    <definedName name="_D">'Speaker design'!$R$9</definedName>
    <definedName name="_Dm">'Speaker design'!$R$17</definedName>
    <definedName name="_E">'Speaker design'!$R$10</definedName>
    <definedName name="_Em">'Speaker design'!$R$18</definedName>
    <definedName name="_Fn2">'Speaker design'!$U$5:$U$59</definedName>
    <definedName name="_Fn2cc">'Speaker design'!$AW$5:$AW$585</definedName>
    <definedName name="_Fn4">'Speaker design'!$V$5:$V$59</definedName>
    <definedName name="_Fn4cc">'Speaker design'!$AX$5:$AX$585</definedName>
    <definedName name="Amax">'Speaker design'!$R$27</definedName>
    <definedName name="Amaxmod">'Speaker design'!$R$31</definedName>
    <definedName name="area">'Speaker design'!$R$42</definedName>
    <definedName name="cm_in">'Speaker design'!$R$37</definedName>
    <definedName name="cm2_in2">'Speaker design'!$R$36</definedName>
    <definedName name="ConeDia">'Speaker design'!$N$4</definedName>
    <definedName name="CportDia">'Speaker design'!$N$13</definedName>
    <definedName name="dBmag">'Speaker design'!$X$5:$X$59</definedName>
    <definedName name="dBmagm">'Speaker design'!$AC$5:$AC$59</definedName>
    <definedName name="dBMagmcmod">'Speaker design'!$AR$5:$AR$49</definedName>
    <definedName name="Dv">'Speaker design'!$R$56</definedName>
    <definedName name="Dv_i">'Speaker design'!$B$19</definedName>
    <definedName name="F">'Speaker design'!$T$5:$T$59</definedName>
    <definedName name="Factor">'Speaker design'!$T$3</definedName>
    <definedName name="Fb">'Speaker design'!$F$7</definedName>
    <definedName name="Fbcl">'Speaker design'!$J$7</definedName>
    <definedName name="Fbclmod">'Speaker design'!$J$15</definedName>
    <definedName name="Fbmod">'Speaker design'!$F$16</definedName>
    <definedName name="FbPorted">'Speaker design'!$F$15</definedName>
    <definedName name="Fcc">'Speaker design'!$AZ$5:$AZ$585</definedName>
    <definedName name="Frc">'Speaker design'!$AK$5:$AK$49</definedName>
    <definedName name="Frcmod">'Speaker design'!$AQ$5:$AQ$49</definedName>
    <definedName name="Fs">'Speaker design'!$B$4</definedName>
    <definedName name="k">'Speaker design'!$N$18</definedName>
    <definedName name="l_ft3">'Speaker design'!$R$35</definedName>
    <definedName name="len">'Speaker design'!$R$40</definedName>
    <definedName name="len10">'Speaker design'!$R$41</definedName>
    <definedName name="Lv">'Speaker design'!$R$59</definedName>
    <definedName name="Lv_i">'Speaker design'!$F$9</definedName>
    <definedName name="MaxPeak">'Speaker design'!$BA$4</definedName>
    <definedName name="MaxSPLLegend">'Speaker design'!$Q$45</definedName>
    <definedName name="MinDia">'Speaker design'!$R$57</definedName>
    <definedName name="Mswitch">'Speaker design'!$R$3</definedName>
    <definedName name="n0">'Speaker design'!$R$22</definedName>
    <definedName name="Np">'Speaker design'!$B$18</definedName>
    <definedName name="OptHump">'Speaker design'!$N$20</definedName>
    <definedName name="PeakSPL">'Speaker design'!$B$12</definedName>
    <definedName name="PEMax">'Speaker design'!$B$10</definedName>
    <definedName name="PK1">'Speaker design'!$R$24</definedName>
    <definedName name="PK2">'Speaker design'!$R$25</definedName>
    <definedName name="PortedHump">'Speaker design'!$F$18</definedName>
    <definedName name="PortHeight">'Speaker design'!$N$9</definedName>
    <definedName name="PortLengthMod">'Speaker design'!$R$61</definedName>
    <definedName name="PortLengthMod_i">'Speaker design'!$F$19</definedName>
    <definedName name="PortWidth">'Speaker design'!$N$8</definedName>
    <definedName name="_xlnm.Print_Area" localSheetId="0">'Speaker design'!$A$2:$K$64</definedName>
    <definedName name="Qes">'Speaker design'!$B$7</definedName>
    <definedName name="Ql">'Speaker design'!$N$19</definedName>
    <definedName name="Qtc">'Speaker design'!$J$9</definedName>
    <definedName name="QtcItem">'Speaker design'!$BD$4</definedName>
    <definedName name="QtcList">'Speaker design'!$BC$4:$BC$78</definedName>
    <definedName name="Qtcmod">'Speaker design'!$J$17</definedName>
    <definedName name="QtcSelected">'Speaker design'!$BE$4</definedName>
    <definedName name="QtcTable">'Speaker design'!$BB$4:$BC$78</definedName>
    <definedName name="Qts">'Speaker design'!$B$15</definedName>
    <definedName name="Qts0">'Speaker design'!$B$6</definedName>
    <definedName name="Re">'Speaker design'!$B$13</definedName>
    <definedName name="RSide1">'Speaker design'!$N$14</definedName>
    <definedName name="Rvc">'Speaker design'!$B$14</definedName>
    <definedName name="Sd">'Speaker design'!$R$20</definedName>
    <definedName name="Sdcm2">'Speaker design'!$R$55</definedName>
    <definedName name="Sdcm2_i">'Speaker design'!$B$9</definedName>
    <definedName name="SPL">'Speaker design'!$B$11</definedName>
    <definedName name="SPLDiff">'Speaker design'!$AI$5:$AI$49</definedName>
    <definedName name="SPLDiffMin">'Speaker design'!$AJ$4</definedName>
    <definedName name="SPLMaxm">'Speaker design'!$AF$5:$AF$49</definedName>
    <definedName name="SPLMaxmMod">'Speaker design'!$AH$5:$AH$49</definedName>
    <definedName name="SPLTherm">'Speaker design'!$AG$5:$AG$49</definedName>
    <definedName name="Vas">'Speaker design'!$R$53</definedName>
    <definedName name="Vas_i">'Speaker design'!$B$5</definedName>
    <definedName name="Vb">'Speaker design'!$R$58</definedName>
    <definedName name="Vb_i">'Speaker design'!$F$6</definedName>
    <definedName name="Vbcl">'Speaker design'!$R$62</definedName>
    <definedName name="Vbcl_i">'Speaker design'!$J$6</definedName>
    <definedName name="Vbmod">'Speaker design'!$R$60</definedName>
    <definedName name="Vbmod_i">'Speaker design'!$F$14</definedName>
    <definedName name="Vbmodcl">'Speaker design'!$R$63</definedName>
    <definedName name="Vbmodcl_i">'Speaker design'!$J$14</definedName>
    <definedName name="Vd">'Speaker design'!$R$21</definedName>
    <definedName name="vol">'Speaker design'!$R$39</definedName>
    <definedName name="Xmax">'Speaker design'!$R$54</definedName>
    <definedName name="Xmax_i">'Speaker design'!$B$8</definedName>
  </definedNames>
  <calcPr fullCalcOnLoad="1"/>
</workbook>
</file>

<file path=xl/sharedStrings.xml><?xml version="1.0" encoding="utf-8"?>
<sst xmlns="http://schemas.openxmlformats.org/spreadsheetml/2006/main" count="186" uniqueCount="146">
  <si>
    <t>15H52</t>
  </si>
  <si>
    <t>Ported box</t>
  </si>
  <si>
    <t>Sealed box</t>
  </si>
  <si>
    <t>Cone are calculator</t>
  </si>
  <si>
    <t>Mswitch</t>
  </si>
  <si>
    <t>Ported optimum</t>
  </si>
  <si>
    <t>Ported modified</t>
  </si>
  <si>
    <t>Sealed optimum</t>
  </si>
  <si>
    <t>Sealed modified</t>
  </si>
  <si>
    <t>Sel. Qtc</t>
  </si>
  <si>
    <t>QtcList</t>
  </si>
  <si>
    <t>QtcItem</t>
  </si>
  <si>
    <t>QtcSelected</t>
  </si>
  <si>
    <t>Fs</t>
  </si>
  <si>
    <t>Hz</t>
  </si>
  <si>
    <t>Optimum design</t>
  </si>
  <si>
    <t>Cone diameter</t>
  </si>
  <si>
    <t>Ql</t>
  </si>
  <si>
    <t>F</t>
  </si>
  <si>
    <t>Fn2</t>
  </si>
  <si>
    <t>Fn4</t>
  </si>
  <si>
    <t>dBmag</t>
  </si>
  <si>
    <t>Pmax</t>
  </si>
  <si>
    <t>SPLMax</t>
  </si>
  <si>
    <t>SPLTher</t>
  </si>
  <si>
    <t>dBmagm</t>
  </si>
  <si>
    <t>Pmaxm</t>
  </si>
  <si>
    <t>SPLMaxm</t>
  </si>
  <si>
    <t>SPLTherm</t>
  </si>
  <si>
    <t>Frc</t>
  </si>
  <si>
    <t>dBMagmc</t>
  </si>
  <si>
    <t>SPLd</t>
  </si>
  <si>
    <t>Pmaxc</t>
  </si>
  <si>
    <t>SPLtc</t>
  </si>
  <si>
    <t>Frcmod</t>
  </si>
  <si>
    <t>dBMagmcmod</t>
  </si>
  <si>
    <t>SPLdmod</t>
  </si>
  <si>
    <t>Pmaxcmod</t>
  </si>
  <si>
    <t>SPLtcmod</t>
  </si>
  <si>
    <t>Vas</t>
  </si>
  <si>
    <t>Cone area</t>
  </si>
  <si>
    <t>Qts</t>
  </si>
  <si>
    <t>Vb</t>
  </si>
  <si>
    <t>A</t>
  </si>
  <si>
    <t>Qes</t>
  </si>
  <si>
    <t>Fb</t>
  </si>
  <si>
    <t>Rectangular port to circular port conv.</t>
  </si>
  <si>
    <t>B</t>
  </si>
  <si>
    <t>Xmax</t>
  </si>
  <si>
    <t>F3</t>
  </si>
  <si>
    <t>Port width</t>
  </si>
  <si>
    <t>C</t>
  </si>
  <si>
    <t>Sd, cone area</t>
  </si>
  <si>
    <t>Port length</t>
  </si>
  <si>
    <t>Qtc</t>
  </si>
  <si>
    <t>Port height</t>
  </si>
  <si>
    <t>D</t>
  </si>
  <si>
    <t>Power input</t>
  </si>
  <si>
    <t>W</t>
  </si>
  <si>
    <t>Max power input</t>
  </si>
  <si>
    <t>Circular port diameter</t>
  </si>
  <si>
    <t>cm</t>
  </si>
  <si>
    <t>E</t>
  </si>
  <si>
    <t>Snd pres 1W/m</t>
  </si>
  <si>
    <t>dB</t>
  </si>
  <si>
    <t>Peak snd pres</t>
  </si>
  <si>
    <t>Alternative design</t>
  </si>
  <si>
    <t>Circular port to rectangular port conv.</t>
  </si>
  <si>
    <t>Re, spkr res</t>
  </si>
  <si>
    <t>R</t>
  </si>
  <si>
    <t>Series res</t>
  </si>
  <si>
    <t>Rectange side 1</t>
  </si>
  <si>
    <t>Am</t>
  </si>
  <si>
    <t>Effective Qts</t>
  </si>
  <si>
    <t>Fb modified</t>
  </si>
  <si>
    <t>Rectange side 2</t>
  </si>
  <si>
    <t>Bm</t>
  </si>
  <si>
    <t>Cm</t>
  </si>
  <si>
    <t>Port</t>
  </si>
  <si>
    <t>Constants</t>
  </si>
  <si>
    <t>Dm</t>
  </si>
  <si>
    <t>No of ports</t>
  </si>
  <si>
    <t>Freq hump</t>
  </si>
  <si>
    <t>Port correction</t>
  </si>
  <si>
    <t>Em</t>
  </si>
  <si>
    <t>Inside port dia</t>
  </si>
  <si>
    <t>Ql (Box losses)</t>
  </si>
  <si>
    <t>Desired freq hump</t>
  </si>
  <si>
    <t>Sd</t>
  </si>
  <si>
    <t>Vd</t>
  </si>
  <si>
    <t>n0</t>
  </si>
  <si>
    <t>PK1</t>
  </si>
  <si>
    <t>PK2</t>
  </si>
  <si>
    <t>Amax</t>
  </si>
  <si>
    <t>CK1</t>
  </si>
  <si>
    <t>CK2</t>
  </si>
  <si>
    <t>Amaxmod</t>
  </si>
  <si>
    <t>CK1mod</t>
  </si>
  <si>
    <t>CK2mod</t>
  </si>
  <si>
    <t>l_ft3</t>
  </si>
  <si>
    <t>cm2_in2</t>
  </si>
  <si>
    <t>cm_in</t>
  </si>
  <si>
    <t>vol</t>
  </si>
  <si>
    <t>len</t>
  </si>
  <si>
    <t>len10</t>
  </si>
  <si>
    <t>area</t>
  </si>
  <si>
    <t>Sdcm2</t>
  </si>
  <si>
    <t>Dv</t>
  </si>
  <si>
    <t>MinDia</t>
  </si>
  <si>
    <t>Lv</t>
  </si>
  <si>
    <t>Vbmod</t>
  </si>
  <si>
    <t>PortLengthMod</t>
  </si>
  <si>
    <t>Vbcl</t>
  </si>
  <si>
    <t>Vbmodcl</t>
  </si>
  <si>
    <t>Copyright (c) 1998 Steven Simon.</t>
  </si>
  <si>
    <t>This software is free for your personal use.</t>
  </si>
  <si>
    <t>You may not distribute this software on the internet without permission from the author.</t>
  </si>
  <si>
    <t>This software is based on the formulas published on the Speaker Building Page: http://www.hi-fi.com/speaker/boxes/equat.html</t>
  </si>
  <si>
    <t>Speaker parameters you will need to know</t>
  </si>
  <si>
    <t>* To calculate box size you will need to know at least Fs, Vas and Qts</t>
  </si>
  <si>
    <t>* To calculate sound pressure, power handling, and minimum port diameter, you will need to know Qes, Cone diameter, and Xmax</t>
  </si>
  <si>
    <t>* The resistance of the crossover coil and the speaker cable can increase the effective Qts of the speaker. To use the effective Qts in calculations, enter the values for Speaker resistance and Series resistance.</t>
  </si>
  <si>
    <t>Changing the size of the display</t>
  </si>
  <si>
    <t>This application was designed for a 800 by 600 display.  If your display has a lower resolution, reduce the display size by selecting View | Zoom, and enter 83% for magnification.</t>
  </si>
  <si>
    <t>Displaying the speaker values and the response graph in one view</t>
  </si>
  <si>
    <t>Split the display by dragging the split bar, which is located just above the vertical scroll bar.</t>
  </si>
  <si>
    <t>Adjust the scroll bars so that you can see both the speaker values and the response graph.  You can reduce the size of the display be selecting View | Zoom from the menu.</t>
  </si>
  <si>
    <t>To remove splits from a window, double-click any part of the split bar.</t>
  </si>
  <si>
    <t>Changing Fb for ported boxes</t>
  </si>
  <si>
    <t>You can further refine the design of ported boxes by entering a value for Fb modified. To use the default value for Fb delete the value you have entered for Fb modified.</t>
  </si>
  <si>
    <t>Using Goal Seek to display the response curve for a driver mounted in a given ported box</t>
  </si>
  <si>
    <t>1. Enter the driver parameters</t>
  </si>
  <si>
    <t>2. Enter the box volume</t>
  </si>
  <si>
    <t>3. Enter the number of ports and the port diameter</t>
  </si>
  <si>
    <t>4. Select Tools | Goal Seek from the menu</t>
  </si>
  <si>
    <t>5. Set cell: Port Length, To value: the length of the existing port, By changing cell: Fb modified</t>
  </si>
  <si>
    <t>Speaker building information on the internet</t>
  </si>
  <si>
    <t>Under development. In the mean time have a look at this page:</t>
  </si>
  <si>
    <t>http://205.214.207.99/homepages/brian/audiodiy/define.htm</t>
  </si>
  <si>
    <t>Metric/Imperial Conversion Table</t>
  </si>
  <si>
    <t>1 inch = 2.54 cm</t>
  </si>
  <si>
    <t>1 inch = 25.4 mm</t>
  </si>
  <si>
    <t>1 cubic foot = 28.3 litres</t>
  </si>
  <si>
    <t>1 cm = 0.394 inches</t>
  </si>
  <si>
    <t>1 mm = 0.0394 inches</t>
  </si>
  <si>
    <t>1 litre = 0.0353 cubic feet</t>
  </si>
</sst>
</file>

<file path=xl/styles.xml><?xml version="1.0" encoding="utf-8"?>
<styleSheet xmlns="http://schemas.openxmlformats.org/spreadsheetml/2006/main">
  <numFmts count="17">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s>
  <fonts count="15">
    <font>
      <sz val="10"/>
      <name val="MS Sans Serif"/>
      <family val="0"/>
    </font>
    <font>
      <b/>
      <sz val="10"/>
      <name val="MS Sans Serif"/>
      <family val="0"/>
    </font>
    <font>
      <i/>
      <sz val="10"/>
      <name val="MS Sans Serif"/>
      <family val="0"/>
    </font>
    <font>
      <b/>
      <i/>
      <sz val="10"/>
      <name val="MS Sans Serif"/>
      <family val="0"/>
    </font>
    <font>
      <sz val="8"/>
      <name val="Arial"/>
      <family val="0"/>
    </font>
    <font>
      <b/>
      <sz val="10"/>
      <name val="Arial"/>
      <family val="0"/>
    </font>
    <font>
      <b/>
      <sz val="10"/>
      <color indexed="62"/>
      <name val="MS Sans Serif"/>
      <family val="2"/>
    </font>
    <font>
      <sz val="10"/>
      <color indexed="9"/>
      <name val="MS Sans Serif"/>
      <family val="2"/>
    </font>
    <font>
      <b/>
      <sz val="10"/>
      <color indexed="8"/>
      <name val="MS Sans Serif"/>
      <family val="2"/>
    </font>
    <font>
      <sz val="8"/>
      <color indexed="8"/>
      <name val="Arial"/>
      <family val="2"/>
    </font>
    <font>
      <b/>
      <sz val="10"/>
      <color indexed="52"/>
      <name val="MS Sans Serif"/>
      <family val="2"/>
    </font>
    <font>
      <b/>
      <sz val="10"/>
      <color indexed="21"/>
      <name val="MS Sans Serif"/>
      <family val="2"/>
    </font>
    <font>
      <sz val="8.5"/>
      <name val="MS Sans Serif"/>
      <family val="2"/>
    </font>
    <font>
      <sz val="8"/>
      <name val="Tahoma"/>
      <family val="2"/>
    </font>
    <font>
      <sz val="8"/>
      <name val="MS Sans Serif"/>
      <family val="0"/>
    </font>
  </fonts>
  <fills count="5">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9"/>
        <bgColor indexed="64"/>
      </patternFill>
    </fill>
  </fills>
  <borders count="9">
    <border>
      <left/>
      <right/>
      <top/>
      <bottom/>
      <diagonal/>
    </border>
    <border>
      <left>
        <color indexed="63"/>
      </left>
      <right>
        <color indexed="63"/>
      </right>
      <top style="medium">
        <color indexed="22"/>
      </top>
      <bottom style="thin">
        <color indexed="23"/>
      </bottom>
    </border>
    <border>
      <left>
        <color indexed="63"/>
      </left>
      <right style="thin">
        <color indexed="23"/>
      </right>
      <top style="medium">
        <color indexed="22"/>
      </top>
      <bottom style="thin">
        <color indexed="23"/>
      </bottom>
    </border>
    <border>
      <left style="medium">
        <color indexed="22"/>
      </left>
      <right>
        <color indexed="63"/>
      </right>
      <top style="medium">
        <color indexed="22"/>
      </top>
      <bottom style="thin">
        <color indexed="23"/>
      </bottom>
    </border>
    <border>
      <left style="thin"/>
      <right>
        <color indexed="63"/>
      </right>
      <top style="thin">
        <color indexed="22"/>
      </top>
      <bottom style="thin">
        <color indexed="23"/>
      </bottom>
    </border>
    <border>
      <left>
        <color indexed="63"/>
      </left>
      <right>
        <color indexed="63"/>
      </right>
      <top style="thin">
        <color indexed="22"/>
      </top>
      <bottom style="thin">
        <color indexed="23"/>
      </bottom>
    </border>
    <border>
      <left>
        <color indexed="63"/>
      </left>
      <right style="thin">
        <color indexed="23"/>
      </right>
      <top style="thin">
        <color indexed="22"/>
      </top>
      <bottom style="thin">
        <color indexed="23"/>
      </bottom>
    </border>
    <border>
      <left style="thin">
        <color indexed="23"/>
      </left>
      <right>
        <color indexed="63"/>
      </right>
      <top style="thin">
        <color indexed="22"/>
      </top>
      <bottom style="thin">
        <color indexed="23"/>
      </bottom>
    </border>
    <border>
      <left style="thin">
        <color indexed="23"/>
      </left>
      <right>
        <color indexed="63"/>
      </right>
      <top style="medium">
        <color indexed="22"/>
      </top>
      <bottom style="thin">
        <color indexed="2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7" fillId="2" borderId="0" xfId="0" applyFont="1" applyFill="1" applyBorder="1" applyAlignment="1" applyProtection="1">
      <alignment/>
      <protection/>
    </xf>
    <xf numFmtId="0" fontId="7" fillId="2" borderId="0" xfId="0" applyFont="1" applyFill="1" applyAlignment="1" applyProtection="1">
      <alignment/>
      <protection/>
    </xf>
    <xf numFmtId="0" fontId="7" fillId="2" borderId="0" xfId="0" applyFont="1" applyFill="1" applyBorder="1" applyAlignment="1" applyProtection="1">
      <alignment/>
      <protection locked="0"/>
    </xf>
    <xf numFmtId="0" fontId="0" fillId="0" borderId="0" xfId="0" applyAlignment="1">
      <alignment wrapText="1"/>
    </xf>
    <xf numFmtId="0" fontId="7" fillId="2" borderId="0" xfId="0" applyFont="1" applyFill="1" applyBorder="1" applyAlignment="1" applyProtection="1">
      <alignment wrapText="1"/>
      <protection locked="0"/>
    </xf>
    <xf numFmtId="0" fontId="0" fillId="3" borderId="0" xfId="0" applyFont="1" applyFill="1" applyBorder="1" applyAlignment="1" applyProtection="1">
      <alignment wrapText="1"/>
      <protection/>
    </xf>
    <xf numFmtId="0" fontId="0" fillId="0" borderId="0" xfId="0" applyAlignment="1" applyProtection="1">
      <alignment/>
      <protection hidden="1"/>
    </xf>
    <xf numFmtId="0" fontId="1" fillId="0" borderId="0" xfId="0" applyFont="1" applyAlignment="1" applyProtection="1">
      <alignment/>
      <protection hidden="1"/>
    </xf>
    <xf numFmtId="172"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Alignment="1" applyProtection="1">
      <alignment/>
      <protection/>
    </xf>
    <xf numFmtId="2" fontId="7" fillId="2" borderId="0" xfId="0" applyNumberFormat="1" applyFont="1" applyFill="1" applyBorder="1" applyAlignment="1" applyProtection="1">
      <alignment/>
      <protection/>
    </xf>
    <xf numFmtId="0" fontId="1" fillId="0" borderId="0" xfId="0" applyFont="1" applyAlignment="1" applyProtection="1">
      <alignment/>
      <protection/>
    </xf>
    <xf numFmtId="2" fontId="0" fillId="0" borderId="0" xfId="0" applyNumberFormat="1" applyAlignment="1" applyProtection="1">
      <alignment/>
      <protection hidden="1"/>
    </xf>
    <xf numFmtId="0" fontId="0" fillId="3" borderId="1" xfId="0" applyFill="1" applyBorder="1" applyAlignment="1" applyProtection="1">
      <alignment/>
      <protection/>
    </xf>
    <xf numFmtId="0" fontId="0" fillId="3" borderId="2" xfId="0" applyFill="1" applyBorder="1" applyAlignment="1" applyProtection="1">
      <alignment/>
      <protection/>
    </xf>
    <xf numFmtId="0" fontId="0" fillId="3" borderId="3" xfId="0" applyFill="1" applyBorder="1" applyAlignment="1" applyProtection="1">
      <alignment/>
      <protection/>
    </xf>
    <xf numFmtId="0" fontId="1" fillId="3" borderId="4" xfId="0" applyFont="1" applyFill="1" applyBorder="1" applyAlignment="1" applyProtection="1">
      <alignment/>
      <protection/>
    </xf>
    <xf numFmtId="2" fontId="6" fillId="4" borderId="5" xfId="0" applyNumberFormat="1" applyFont="1" applyFill="1" applyBorder="1" applyAlignment="1" applyProtection="1">
      <alignment/>
      <protection locked="0"/>
    </xf>
    <xf numFmtId="0" fontId="6" fillId="4" borderId="6" xfId="0" applyFont="1" applyFill="1" applyBorder="1" applyAlignment="1" applyProtection="1">
      <alignment/>
      <protection/>
    </xf>
    <xf numFmtId="0" fontId="10" fillId="4" borderId="6" xfId="0" applyFont="1" applyFill="1" applyBorder="1" applyAlignment="1" applyProtection="1">
      <alignment/>
      <protection/>
    </xf>
    <xf numFmtId="2" fontId="11" fillId="4" borderId="5" xfId="0" applyNumberFormat="1" applyFont="1" applyFill="1" applyBorder="1" applyAlignment="1" applyProtection="1">
      <alignment/>
      <protection locked="0"/>
    </xf>
    <xf numFmtId="0" fontId="11" fillId="4" borderId="6" xfId="0" applyFont="1" applyFill="1" applyBorder="1" applyAlignment="1" applyProtection="1">
      <alignment/>
      <protection/>
    </xf>
    <xf numFmtId="0" fontId="1" fillId="3" borderId="7" xfId="0" applyFont="1" applyFill="1" applyBorder="1" applyAlignment="1" applyProtection="1">
      <alignment/>
      <protection/>
    </xf>
    <xf numFmtId="0" fontId="10" fillId="3" borderId="6" xfId="0" applyFont="1" applyFill="1" applyBorder="1" applyAlignment="1" applyProtection="1">
      <alignment/>
      <protection/>
    </xf>
    <xf numFmtId="0" fontId="8" fillId="4" borderId="6" xfId="0" applyFont="1" applyFill="1" applyBorder="1" applyAlignment="1" applyProtection="1">
      <alignment/>
      <protection/>
    </xf>
    <xf numFmtId="0" fontId="0" fillId="3" borderId="8" xfId="0" applyFill="1" applyBorder="1" applyAlignment="1" applyProtection="1">
      <alignment/>
      <protection/>
    </xf>
    <xf numFmtId="0" fontId="0" fillId="0" borderId="0" xfId="0" applyAlignment="1" applyProtection="1">
      <alignment horizontal="centerContinuous"/>
      <protection hidden="1"/>
    </xf>
    <xf numFmtId="0" fontId="0" fillId="0" borderId="0" xfId="0" applyFill="1" applyAlignment="1" applyProtection="1">
      <alignment horizontal="centerContinuous"/>
      <protection hidden="1"/>
    </xf>
    <xf numFmtId="0" fontId="1" fillId="0" borderId="0" xfId="0" applyFont="1" applyAlignment="1" applyProtection="1">
      <alignment horizontal="centerContinuous" vertical="center"/>
      <protection hidden="1"/>
    </xf>
    <xf numFmtId="0" fontId="0" fillId="0" borderId="0" xfId="0" applyAlignment="1" applyProtection="1">
      <alignment horizontal="right" textRotation="180"/>
      <protection hidden="1"/>
    </xf>
    <xf numFmtId="2" fontId="10" fillId="3" borderId="5" xfId="0" applyNumberFormat="1" applyFont="1" applyFill="1" applyBorder="1" applyAlignment="1" applyProtection="1">
      <alignment/>
      <protection/>
    </xf>
    <xf numFmtId="2" fontId="10" fillId="4" borderId="5" xfId="0" applyNumberFormat="1" applyFont="1" applyFill="1" applyBorder="1" applyAlignment="1" applyProtection="1">
      <alignment/>
      <protection/>
    </xf>
    <xf numFmtId="2" fontId="8" fillId="4" borderId="5" xfId="0" applyNumberFormat="1" applyFont="1" applyFill="1" applyBorder="1" applyAlignment="1" applyProtection="1">
      <alignment/>
      <protection/>
    </xf>
    <xf numFmtId="0" fontId="0" fillId="0" borderId="0" xfId="0" applyAlignment="1" applyProtection="1">
      <alignment/>
      <protection locked="0"/>
    </xf>
    <xf numFmtId="0" fontId="0" fillId="0" borderId="0" xfId="0" applyAlignment="1" applyProtection="1">
      <alignment/>
      <protection hidden="1"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'Speaker design'!$Q$47</c:f>
        </c:strRef>
      </c:tx>
      <c:layout>
        <c:manualLayout>
          <c:xMode val="factor"/>
          <c:yMode val="factor"/>
          <c:x val="0"/>
          <c:y val="-0.02125"/>
        </c:manualLayout>
      </c:layout>
      <c:spPr>
        <a:noFill/>
        <a:ln>
          <a:noFill/>
        </a:ln>
      </c:spPr>
      <c:txPr>
        <a:bodyPr vert="horz" rot="0"/>
        <a:lstStyle/>
        <a:p>
          <a:pPr>
            <a:defRPr lang="en-US" cap="none" sz="1000" b="1" i="0" u="none" baseline="0"/>
          </a:pPr>
        </a:p>
      </c:txPr>
    </c:title>
    <c:plotArea>
      <c:layout>
        <c:manualLayout>
          <c:xMode val="edge"/>
          <c:yMode val="edge"/>
          <c:x val="0.00575"/>
          <c:y val="0.146"/>
          <c:w val="0.98975"/>
          <c:h val="0.854"/>
        </c:manualLayout>
      </c:layout>
      <c:scatterChart>
        <c:scatterStyle val="smooth"/>
        <c:varyColors val="0"/>
        <c:ser>
          <c:idx val="0"/>
          <c:order val="0"/>
          <c:tx>
            <c:strRef>
              <c:f>'Speaker design'!$Q$45</c:f>
              <c:strCache>
                <c:ptCount val="1"/>
                <c:pt idx="0">
                  <c:v>SPL limited by power input (1.0W)</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'Speaker design'!$T$5:$T$49</c:f>
              <c:numCache/>
            </c:numRef>
          </c:xVal>
          <c:yVal>
            <c:numRef>
              <c:f>'Speaker design'!$AG$5:$AG$49</c:f>
              <c:numCache/>
            </c:numRef>
          </c:yVal>
          <c:smooth val="1"/>
        </c:ser>
        <c:ser>
          <c:idx val="1"/>
          <c:order val="1"/>
          <c:tx>
            <c:strRef>
              <c:f>'Speaker design'!$Q$46</c:f>
              <c:strCache>
                <c:ptCount val="1"/>
                <c:pt idx="0">
                  <c:v>SPL limited by cone excursion (6.00mm)</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'Speaker design'!$T$5:$T$49</c:f>
              <c:numCache/>
            </c:numRef>
          </c:xVal>
          <c:yVal>
            <c:numRef>
              <c:f>'Speaker design'!$AF$5:$AF$49</c:f>
              <c:numCache/>
            </c:numRef>
          </c:yVal>
          <c:smooth val="1"/>
        </c:ser>
        <c:axId val="63824273"/>
        <c:axId val="37547546"/>
      </c:scatterChart>
      <c:valAx>
        <c:axId val="63824273"/>
        <c:scaling>
          <c:logBase val="10"/>
          <c:orientation val="minMax"/>
          <c:max val="1000"/>
          <c:min val="10"/>
        </c:scaling>
        <c:axPos val="b"/>
        <c:majorGridlines/>
        <c:minorGridlines>
          <c:spPr>
            <a:ln w="3175">
              <a:solidFill>
                <a:srgbClr val="C0C0C0"/>
              </a:solidFill>
            </a:ln>
          </c:spPr>
        </c:minorGridlines>
        <c:delete val="0"/>
        <c:numFmt formatCode="General" sourceLinked="1"/>
        <c:majorTickMark val="in"/>
        <c:minorTickMark val="none"/>
        <c:tickLblPos val="nextTo"/>
        <c:crossAx val="37547546"/>
        <c:crosses val="autoZero"/>
        <c:crossBetween val="midCat"/>
        <c:dispUnits/>
        <c:majorUnit val="10"/>
        <c:minorUnit val="10"/>
      </c:valAx>
      <c:valAx>
        <c:axId val="37547546"/>
        <c:scaling>
          <c:orientation val="minMax"/>
          <c:max val="122"/>
          <c:min val="50"/>
        </c:scaling>
        <c:axPos val="l"/>
        <c:majorGridlines/>
        <c:minorGridlines>
          <c:spPr>
            <a:ln w="3175">
              <a:solidFill>
                <a:srgbClr val="969696"/>
              </a:solidFill>
            </a:ln>
          </c:spPr>
        </c:minorGridlines>
        <c:delete val="0"/>
        <c:numFmt formatCode="General" sourceLinked="1"/>
        <c:majorTickMark val="in"/>
        <c:minorTickMark val="none"/>
        <c:tickLblPos val="nextTo"/>
        <c:crossAx val="63824273"/>
        <c:crosses val="autoZero"/>
        <c:crossBetween val="midCat"/>
        <c:dispUnits/>
        <c:majorUnit val="12"/>
        <c:minorUnit val="3"/>
      </c:valAx>
      <c:spPr>
        <a:pattFill prst="pct10">
          <a:fgClr>
            <a:srgbClr val="FFFFC0"/>
          </a:fgClr>
          <a:bgClr>
            <a:srgbClr val="FFFFFF"/>
          </a:bgClr>
        </a:pattFill>
        <a:ln w="12700">
          <a:solidFill>
            <a:srgbClr val="808080"/>
          </a:solidFill>
        </a:ln>
      </c:spPr>
    </c:plotArea>
    <c:legend>
      <c:legendPos val="r"/>
      <c:layout>
        <c:manualLayout>
          <c:xMode val="edge"/>
          <c:yMode val="edge"/>
          <c:x val="0.0275"/>
          <c:y val="0.01825"/>
          <c:w val="0.33525"/>
          <c:h val="0.1185"/>
        </c:manualLayout>
      </c:layout>
      <c:overlay val="0"/>
      <c:spPr>
        <a:noFill/>
        <a:ln w="3175">
          <a:noFill/>
        </a:ln>
      </c:spPr>
    </c:legend>
    <c:plotVisOnly val="1"/>
    <c:dispBlanksAs val="gap"/>
    <c:showDLblsOverMax val="0"/>
  </c:chart>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'Speaker design'!$Q$48</c:f>
        </c:strRef>
      </c:tx>
      <c:layout>
        <c:manualLayout>
          <c:xMode val="factor"/>
          <c:yMode val="factor"/>
          <c:x val="0"/>
          <c:y val="-0.0215"/>
        </c:manualLayout>
      </c:layout>
      <c:spPr>
        <a:noFill/>
        <a:ln>
          <a:noFill/>
        </a:ln>
      </c:spPr>
      <c:txPr>
        <a:bodyPr vert="horz" rot="0"/>
        <a:lstStyle/>
        <a:p>
          <a:pPr>
            <a:defRPr lang="en-US" cap="none" sz="1000" b="1" i="0" u="none" baseline="0"/>
          </a:pPr>
        </a:p>
      </c:txPr>
    </c:title>
    <c:plotArea>
      <c:layout>
        <c:manualLayout>
          <c:xMode val="edge"/>
          <c:yMode val="edge"/>
          <c:x val="0.0165"/>
          <c:y val="0.1455"/>
          <c:w val="0.967"/>
          <c:h val="0.8545"/>
        </c:manualLayout>
      </c:layout>
      <c:scatterChart>
        <c:scatterStyle val="smooth"/>
        <c:varyColors val="0"/>
        <c:ser>
          <c:idx val="0"/>
          <c:order val="0"/>
          <c:tx>
            <c:strRef>
              <c:f>'Speaker design'!$Q$45</c:f>
              <c:strCache>
                <c:ptCount val="1"/>
                <c:pt idx="0">
                  <c:v>SPL limited by power input (10.0W)</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'Speaker design'!$T$5:$T$49</c:f>
              <c:numCache/>
            </c:numRef>
          </c:xVal>
          <c:yVal>
            <c:numRef>
              <c:f>'Speaker design'!$AU$5:$AU$49</c:f>
              <c:numCache>
                <c:ptCount val="45"/>
                <c:pt idx="0">
                  <c:v>63.56647306814551</c:v>
                </c:pt>
                <c:pt idx="1">
                  <c:v>65.35093161552689</c:v>
                </c:pt>
                <c:pt idx="2">
                  <c:v>67.12882572361843</c:v>
                </c:pt>
                <c:pt idx="3">
                  <c:v>68.89865478320725</c:v>
                </c:pt>
                <c:pt idx="4">
                  <c:v>70.65858311164546</c:v>
                </c:pt>
                <c:pt idx="5">
                  <c:v>72.40637003534735</c:v>
                </c:pt>
                <c:pt idx="6">
                  <c:v>74.13928853046221</c:v>
                </c:pt>
                <c:pt idx="7">
                  <c:v>75.85403268555208</c:v>
                </c:pt>
                <c:pt idx="8">
                  <c:v>77.5466160012121</c:v>
                </c:pt>
                <c:pt idx="9">
                  <c:v>79.21226551911279</c:v>
                </c:pt>
                <c:pt idx="10">
                  <c:v>80.84532145589807</c:v>
                </c:pt>
                <c:pt idx="11">
                  <c:v>82.43915879041012</c:v>
                </c:pt>
                <c:pt idx="12">
                  <c:v>83.98615603837638</c:v>
                </c:pt>
                <c:pt idx="13">
                  <c:v>85.47774605116435</c:v>
                </c:pt>
                <c:pt idx="14">
                  <c:v>86.90459090692009</c:v>
                </c:pt>
                <c:pt idx="15">
                  <c:v>88.25692202682045</c:v>
                </c:pt>
                <c:pt idx="16">
                  <c:v>89.52506988229362</c:v>
                </c:pt>
                <c:pt idx="17">
                  <c:v>90.70016906908458</c:v>
                </c:pt>
                <c:pt idx="18">
                  <c:v>91.774966394149</c:v>
                </c:pt>
                <c:pt idx="19">
                  <c:v>92.74459880098986</c:v>
                </c:pt>
                <c:pt idx="20">
                  <c:v>93.60717437192687</c:v>
                </c:pt>
                <c:pt idx="21">
                  <c:v>94.36401131577765</c:v>
                </c:pt>
                <c:pt idx="22">
                  <c:v>95.01947068328644</c:v>
                </c:pt>
                <c:pt idx="23">
                  <c:v>95.58042805808515</c:v>
                </c:pt>
                <c:pt idx="24">
                  <c:v>96.05551864421038</c:v>
                </c:pt>
                <c:pt idx="25">
                  <c:v>96.45432323930595</c:v>
                </c:pt>
                <c:pt idx="26">
                  <c:v>96.78663731786003</c:v>
                </c:pt>
                <c:pt idx="27">
                  <c:v>97.0619071107353</c:v>
                </c:pt>
                <c:pt idx="28">
                  <c:v>97.28885623284015</c:v>
                </c:pt>
                <c:pt idx="29">
                  <c:v>97.47528376055746</c:v>
                </c:pt>
                <c:pt idx="30">
                  <c:v>97.62799425530442</c:v>
                </c:pt>
                <c:pt idx="31">
                  <c:v>97.75281701988511</c:v>
                </c:pt>
                <c:pt idx="32">
                  <c:v>97.85467813638967</c:v>
                </c:pt>
                <c:pt idx="33">
                  <c:v>97.9376983163582</c:v>
                </c:pt>
                <c:pt idx="34">
                  <c:v>98.00529866154288</c:v>
                </c:pt>
                <c:pt idx="35">
                  <c:v>98.0603035979922</c:v>
                </c:pt>
                <c:pt idx="36">
                  <c:v>98.10503528523549</c:v>
                </c:pt>
                <c:pt idx="37">
                  <c:v>98.14139705218803</c:v>
                </c:pt>
                <c:pt idx="38">
                  <c:v>98.17094535043715</c:v>
                </c:pt>
                <c:pt idx="39">
                  <c:v>98.19495077573886</c:v>
                </c:pt>
                <c:pt idx="40">
                  <c:v>98.21444921747481</c:v>
                </c:pt>
                <c:pt idx="41">
                  <c:v>98.23028437888314</c:v>
                </c:pt>
                <c:pt idx="42">
                  <c:v>98.24314291333876</c:v>
                </c:pt>
                <c:pt idx="43">
                  <c:v>98.25358333286067</c:v>
                </c:pt>
                <c:pt idx="44">
                  <c:v>98.26205971655745</c:v>
                </c:pt>
              </c:numCache>
            </c:numRef>
          </c:yVal>
          <c:smooth val="1"/>
        </c:ser>
        <c:ser>
          <c:idx val="1"/>
          <c:order val="1"/>
          <c:tx>
            <c:strRef>
              <c:f>'Speaker design'!$Q$46</c:f>
              <c:strCache>
                <c:ptCount val="1"/>
                <c:pt idx="0">
                  <c:v>SPL limited by cone excursion (6.50mm)</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'Speaker design'!$T$5:$T$49</c:f>
              <c:numCache/>
            </c:numRef>
          </c:xVal>
          <c:yVal>
            <c:numRef>
              <c:f>'Speaker design'!$AS$5:$AS$49</c:f>
              <c:numCache>
                <c:ptCount val="45"/>
                <c:pt idx="0">
                  <c:v>65.30242126213847</c:v>
                </c:pt>
                <c:pt idx="1">
                  <c:v>67.11534041360476</c:v>
                </c:pt>
                <c:pt idx="2">
                  <c:v>68.92825956507104</c:v>
                </c:pt>
                <c:pt idx="3">
                  <c:v>70.74117871653735</c:v>
                </c:pt>
                <c:pt idx="4">
                  <c:v>72.55409786800365</c:v>
                </c:pt>
                <c:pt idx="5">
                  <c:v>74.36701701946996</c:v>
                </c:pt>
                <c:pt idx="6">
                  <c:v>76.17993617093626</c:v>
                </c:pt>
                <c:pt idx="7">
                  <c:v>77.99285532240255</c:v>
                </c:pt>
                <c:pt idx="8">
                  <c:v>79.80577447386885</c:v>
                </c:pt>
                <c:pt idx="9">
                  <c:v>81.61869362533514</c:v>
                </c:pt>
                <c:pt idx="10">
                  <c:v>83.43161277680144</c:v>
                </c:pt>
                <c:pt idx="11">
                  <c:v>85.24453192826775</c:v>
                </c:pt>
                <c:pt idx="12">
                  <c:v>87.05745107973405</c:v>
                </c:pt>
                <c:pt idx="13">
                  <c:v>88.87037023120034</c:v>
                </c:pt>
                <c:pt idx="14">
                  <c:v>90.68328938266664</c:v>
                </c:pt>
                <c:pt idx="15">
                  <c:v>92.49620853413295</c:v>
                </c:pt>
                <c:pt idx="16">
                  <c:v>94.30912768559924</c:v>
                </c:pt>
                <c:pt idx="17">
                  <c:v>96.12204683706554</c:v>
                </c:pt>
                <c:pt idx="18">
                  <c:v>97.93496598853184</c:v>
                </c:pt>
                <c:pt idx="19">
                  <c:v>99.74788513999813</c:v>
                </c:pt>
                <c:pt idx="20">
                  <c:v>101.56080429146444</c:v>
                </c:pt>
                <c:pt idx="21">
                  <c:v>103.37372344293074</c:v>
                </c:pt>
                <c:pt idx="22">
                  <c:v>105.18664259439703</c:v>
                </c:pt>
                <c:pt idx="23">
                  <c:v>106.99956174586333</c:v>
                </c:pt>
                <c:pt idx="24">
                  <c:v>108.81248089732964</c:v>
                </c:pt>
                <c:pt idx="25">
                  <c:v>110.62540004879592</c:v>
                </c:pt>
                <c:pt idx="26">
                  <c:v>112.43831920026223</c:v>
                </c:pt>
                <c:pt idx="27">
                  <c:v>114.25123835172853</c:v>
                </c:pt>
                <c:pt idx="28">
                  <c:v>116.06415750319482</c:v>
                </c:pt>
                <c:pt idx="29">
                  <c:v>117.87707665466112</c:v>
                </c:pt>
                <c:pt idx="30">
                  <c:v>119.68999580612743</c:v>
                </c:pt>
                <c:pt idx="31">
                  <c:v>121.50291495759372</c:v>
                </c:pt>
                <c:pt idx="32">
                  <c:v>123.31583410906002</c:v>
                </c:pt>
                <c:pt idx="33">
                  <c:v>125.12875326052631</c:v>
                </c:pt>
                <c:pt idx="34">
                  <c:v>126.94167241199261</c:v>
                </c:pt>
                <c:pt idx="35">
                  <c:v>128.75459156345892</c:v>
                </c:pt>
                <c:pt idx="36">
                  <c:v>130.56751071492522</c:v>
                </c:pt>
                <c:pt idx="37">
                  <c:v>132.38042986639152</c:v>
                </c:pt>
                <c:pt idx="38">
                  <c:v>134.19334901785783</c:v>
                </c:pt>
                <c:pt idx="39">
                  <c:v>136.00626816932413</c:v>
                </c:pt>
                <c:pt idx="40">
                  <c:v>137.8191873207904</c:v>
                </c:pt>
                <c:pt idx="41">
                  <c:v>139.6321064722567</c:v>
                </c:pt>
                <c:pt idx="42">
                  <c:v>141.445025623723</c:v>
                </c:pt>
                <c:pt idx="43">
                  <c:v>143.25794477518932</c:v>
                </c:pt>
                <c:pt idx="44">
                  <c:v>145.07086392665562</c:v>
                </c:pt>
              </c:numCache>
            </c:numRef>
          </c:yVal>
          <c:smooth val="1"/>
        </c:ser>
        <c:axId val="2383595"/>
        <c:axId val="21452356"/>
      </c:scatterChart>
      <c:valAx>
        <c:axId val="2383595"/>
        <c:scaling>
          <c:logBase val="10"/>
          <c:orientation val="minMax"/>
          <c:max val="1000"/>
          <c:min val="10"/>
        </c:scaling>
        <c:axPos val="b"/>
        <c:majorGridlines/>
        <c:minorGridlines>
          <c:spPr>
            <a:ln w="3175">
              <a:solidFill>
                <a:srgbClr val="C0C0C0"/>
              </a:solidFill>
            </a:ln>
          </c:spPr>
        </c:minorGridlines>
        <c:delete val="0"/>
        <c:numFmt formatCode="General" sourceLinked="1"/>
        <c:majorTickMark val="in"/>
        <c:minorTickMark val="none"/>
        <c:tickLblPos val="nextTo"/>
        <c:crossAx val="21452356"/>
        <c:crosses val="autoZero"/>
        <c:crossBetween val="midCat"/>
        <c:dispUnits/>
        <c:majorUnit val="10"/>
        <c:minorUnit val="10"/>
      </c:valAx>
      <c:valAx>
        <c:axId val="21452356"/>
        <c:scaling>
          <c:orientation val="minMax"/>
          <c:max val="122"/>
          <c:min val="50"/>
        </c:scaling>
        <c:axPos val="l"/>
        <c:majorGridlines/>
        <c:minorGridlines>
          <c:spPr>
            <a:ln w="3175">
              <a:solidFill>
                <a:srgbClr val="969696"/>
              </a:solidFill>
            </a:ln>
          </c:spPr>
        </c:minorGridlines>
        <c:delete val="0"/>
        <c:numFmt formatCode="General" sourceLinked="1"/>
        <c:majorTickMark val="in"/>
        <c:minorTickMark val="none"/>
        <c:tickLblPos val="nextTo"/>
        <c:crossAx val="2383595"/>
        <c:crosses val="autoZero"/>
        <c:crossBetween val="midCat"/>
        <c:dispUnits/>
        <c:majorUnit val="12"/>
        <c:minorUnit val="3"/>
      </c:valAx>
      <c:spPr>
        <a:pattFill prst="pct10">
          <a:fgClr>
            <a:srgbClr val="FFFFC0"/>
          </a:fgClr>
          <a:bgClr>
            <a:srgbClr val="FFFFFF"/>
          </a:bgClr>
        </a:pattFill>
        <a:ln w="12700">
          <a:solidFill>
            <a:srgbClr val="808080"/>
          </a:solidFill>
        </a:ln>
      </c:spPr>
    </c:plotArea>
    <c:legend>
      <c:legendPos val="t"/>
      <c:layout>
        <c:manualLayout>
          <c:xMode val="edge"/>
          <c:yMode val="edge"/>
          <c:x val="0.04775"/>
          <c:y val="0"/>
          <c:w val="0.33625"/>
          <c:h val="0.11925"/>
        </c:manualLayout>
      </c:layout>
      <c:overlay val="0"/>
      <c:spPr>
        <a:noFill/>
        <a:ln w="3175">
          <a:noFill/>
        </a:ln>
      </c:spPr>
    </c:legend>
    <c:plotVisOnly val="1"/>
    <c:dispBlanksAs val="gap"/>
    <c:showDLblsOverMax val="0"/>
  </c:chart>
  <c:txPr>
    <a:bodyPr vert="horz" rot="0"/>
    <a:lstStyle/>
    <a:p>
      <a:pPr>
        <a:defRPr lang="en-US" cap="none" sz="800"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0.63275</cdr:x>
      <cdr:y>0.072</cdr:y>
    </cdr:from>
    <cdr:to>
      <cdr:x>0.97525</cdr:x>
      <cdr:y>0.13425</cdr:y>
    </cdr:to>
    <cdr:sp textlink="'Speaker design'!$Q$49">
      <cdr:nvSpPr>
        <cdr:cNvPr id="1" name="Text 1"/>
        <cdr:cNvSpPr txBox="1">
          <a:spLocks noChangeArrowheads="1"/>
        </cdr:cNvSpPr>
      </cdr:nvSpPr>
      <cdr:spPr>
        <a:xfrm>
          <a:off x="4200525" y="228600"/>
          <a:ext cx="2276475" cy="200025"/>
        </a:xfrm>
        <a:prstGeom prst="rect">
          <a:avLst/>
        </a:prstGeom>
        <a:noFill/>
        <a:ln w="1" cmpd="sng">
          <a:noFill/>
        </a:ln>
      </cdr:spPr>
      <cdr:txBody>
        <a:bodyPr vertOverflow="clip" wrap="square"/>
        <a:p>
          <a:pPr algn="r">
            <a:defRPr/>
          </a:pPr>
          <a:fld id="{9112d38f-44af-485b-9c3d-a5c3cd4c45fc}" type="TxLink">
            <a:rPr lang="en-US" cap="none" sz="800" b="0" i="0" u="none" baseline="0">
              <a:solidFill>
                <a:srgbClr val="000000"/>
              </a:solidFill>
            </a:rPr>
            <a:t>Port: Dia 4.00cm, Length 9.64cm</a:t>
          </a:fld>
        </a:p>
      </cdr:txBody>
    </cdr:sp>
  </cdr:relSizeAnchor>
  <cdr:relSizeAnchor xmlns:cdr="http://schemas.openxmlformats.org/drawingml/2006/chartDrawing">
    <cdr:from>
      <cdr:x>0.8445</cdr:x>
      <cdr:y>0.002</cdr:y>
    </cdr:from>
    <cdr:to>
      <cdr:x>0.9805</cdr:x>
      <cdr:y>0.04925</cdr:y>
    </cdr:to>
    <cdr:sp textlink="'Speaker design'!$Q$51">
      <cdr:nvSpPr>
        <cdr:cNvPr id="2" name="Text 2"/>
        <cdr:cNvSpPr txBox="1">
          <a:spLocks noChangeArrowheads="1"/>
        </cdr:cNvSpPr>
      </cdr:nvSpPr>
      <cdr:spPr>
        <a:xfrm>
          <a:off x="5610225" y="0"/>
          <a:ext cx="904875" cy="152400"/>
        </a:xfrm>
        <a:prstGeom prst="rect">
          <a:avLst/>
        </a:prstGeom>
        <a:noFill/>
        <a:ln w="1" cmpd="sng">
          <a:noFill/>
        </a:ln>
      </cdr:spPr>
      <cdr:txBody>
        <a:bodyPr vertOverflow="clip" wrap="square"/>
        <a:p>
          <a:pPr algn="r">
            <a:defRPr/>
          </a:pPr>
          <a:fld id="{f05e0131-272b-4001-af52-29acaf0c5497}" type="TxLink">
            <a:rPr lang="en-US" cap="none" sz="800" b="0" i="0" u="none" baseline="0">
              <a:solidFill>
                <a:srgbClr val="000000"/>
              </a:solidFill>
            </a:rPr>
            <a:t>Fb 50.00 Hz</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0.075</cdr:y>
    </cdr:from>
    <cdr:to>
      <cdr:x>0.96425</cdr:x>
      <cdr:y>0.1285</cdr:y>
    </cdr:to>
    <cdr:sp textlink="'Speaker design'!$Q$50">
      <cdr:nvSpPr>
        <cdr:cNvPr id="1" name="Text 1"/>
        <cdr:cNvSpPr txBox="1">
          <a:spLocks noChangeArrowheads="1"/>
        </cdr:cNvSpPr>
      </cdr:nvSpPr>
      <cdr:spPr>
        <a:xfrm>
          <a:off x="4991100" y="238125"/>
          <a:ext cx="1428750" cy="171450"/>
        </a:xfrm>
        <a:prstGeom prst="rect">
          <a:avLst/>
        </a:prstGeom>
        <a:noFill/>
        <a:ln w="1" cmpd="sng">
          <a:noFill/>
        </a:ln>
      </cdr:spPr>
      <cdr:txBody>
        <a:bodyPr vertOverflow="clip" wrap="square"/>
        <a:p>
          <a:pPr algn="r">
            <a:defRPr/>
          </a:pPr>
          <a:fld id="{164587f6-c1f4-4a09-b1fe-3a3255de10dd}" type="TxLink">
            <a:rPr lang="en-US" cap="none" sz="800" b="0" i="0" u="none" baseline="0">
              <a:solidFill>
                <a:srgbClr val="000000"/>
              </a:solidFill>
            </a:rPr>
            <a:t>Qtc 0.53</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22</xdr:row>
      <xdr:rowOff>47625</xdr:rowOff>
    </xdr:from>
    <xdr:to>
      <xdr:col>10</xdr:col>
      <xdr:colOff>333375</xdr:colOff>
      <xdr:row>42</xdr:row>
      <xdr:rowOff>28575</xdr:rowOff>
    </xdr:to>
    <xdr:graphicFrame>
      <xdr:nvGraphicFramePr>
        <xdr:cNvPr id="1" name="Chart 3"/>
        <xdr:cNvGraphicFramePr/>
      </xdr:nvGraphicFramePr>
      <xdr:xfrm>
        <a:off x="66675" y="3676650"/>
        <a:ext cx="6648450" cy="32194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44</xdr:row>
      <xdr:rowOff>104775</xdr:rowOff>
    </xdr:from>
    <xdr:to>
      <xdr:col>10</xdr:col>
      <xdr:colOff>333375</xdr:colOff>
      <xdr:row>64</xdr:row>
      <xdr:rowOff>66675</xdr:rowOff>
    </xdr:to>
    <xdr:graphicFrame>
      <xdr:nvGraphicFramePr>
        <xdr:cNvPr id="2" name="Chart 11"/>
        <xdr:cNvGraphicFramePr/>
      </xdr:nvGraphicFramePr>
      <xdr:xfrm>
        <a:off x="57150" y="7296150"/>
        <a:ext cx="6657975" cy="3200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E659"/>
  <sheetViews>
    <sheetView showGridLines="0" tabSelected="1" workbookViewId="0" topLeftCell="A1">
      <selection activeCell="N17" sqref="N17"/>
    </sheetView>
  </sheetViews>
  <sheetFormatPr defaultColWidth="9.140625" defaultRowHeight="12.75"/>
  <cols>
    <col min="1" max="1" width="15.8515625" style="11" customWidth="1"/>
    <col min="2" max="2" width="9.140625" style="11" customWidth="1"/>
    <col min="3" max="3" width="5.140625" style="11" customWidth="1"/>
    <col min="4" max="4" width="2.421875" style="11" customWidth="1"/>
    <col min="5" max="5" width="19.00390625" style="11" customWidth="1"/>
    <col min="6" max="6" width="9.140625" style="11" customWidth="1"/>
    <col min="7" max="7" width="4.421875" style="11" customWidth="1"/>
    <col min="8" max="8" width="2.421875" style="11" customWidth="1"/>
    <col min="9" max="9" width="19.00390625" style="11" customWidth="1"/>
    <col min="10" max="10" width="9.140625" style="11" customWidth="1"/>
    <col min="11" max="11" width="5.28125" style="11" customWidth="1"/>
    <col min="12" max="12" width="7.7109375" style="7" customWidth="1"/>
    <col min="13" max="13" width="22.28125" style="11" customWidth="1"/>
    <col min="14" max="14" width="9.140625" style="11" customWidth="1"/>
    <col min="15" max="15" width="5.140625" style="11" customWidth="1"/>
    <col min="16" max="16" width="16.421875" style="7" customWidth="1"/>
    <col min="17" max="17" width="9.00390625" style="7" customWidth="1"/>
    <col min="18" max="18" width="9.7109375" style="7" customWidth="1"/>
    <col min="19" max="19" width="3.7109375" style="7" customWidth="1"/>
    <col min="20" max="22" width="9.140625" style="7" customWidth="1"/>
    <col min="23" max="23" width="4.7109375" style="7" customWidth="1"/>
    <col min="24" max="36" width="9.140625" style="7" customWidth="1"/>
    <col min="37" max="37" width="10.28125" style="7" customWidth="1"/>
    <col min="38" max="48" width="9.140625" style="7" customWidth="1"/>
    <col min="49" max="16384" width="9.140625" style="11" customWidth="1"/>
  </cols>
  <sheetData>
    <row r="1" spans="1:11" ht="18" customHeight="1">
      <c r="A1" s="17"/>
      <c r="B1" s="15"/>
      <c r="C1" s="15"/>
      <c r="D1" s="15"/>
      <c r="E1" s="27"/>
      <c r="F1" s="15"/>
      <c r="G1" s="15"/>
      <c r="H1" s="15"/>
      <c r="I1" s="27"/>
      <c r="J1" s="15"/>
      <c r="K1" s="16"/>
    </row>
    <row r="2" spans="1:11" ht="12.75">
      <c r="A2" s="30"/>
      <c r="B2" s="28"/>
      <c r="C2" s="28"/>
      <c r="D2" s="28"/>
      <c r="E2" s="29"/>
      <c r="F2" s="28"/>
      <c r="G2" s="28"/>
      <c r="H2" s="28"/>
      <c r="I2" s="28"/>
      <c r="J2" s="28"/>
      <c r="K2" s="28"/>
    </row>
    <row r="3" spans="1:57" ht="12.75">
      <c r="A3" s="3" t="s">
        <v>0</v>
      </c>
      <c r="B3" s="2"/>
      <c r="C3" s="2"/>
      <c r="E3" s="1" t="s">
        <v>1</v>
      </c>
      <c r="F3" s="2"/>
      <c r="G3" s="2"/>
      <c r="I3" s="1" t="s">
        <v>2</v>
      </c>
      <c r="J3" s="2"/>
      <c r="K3" s="2"/>
      <c r="M3" s="1" t="s">
        <v>3</v>
      </c>
      <c r="N3" s="2"/>
      <c r="O3" s="2"/>
      <c r="Q3" s="7" t="s">
        <v>4</v>
      </c>
      <c r="R3" s="36">
        <v>1</v>
      </c>
      <c r="T3" s="7">
        <v>1.11</v>
      </c>
      <c r="X3" s="7" t="s">
        <v>5</v>
      </c>
      <c r="AC3" s="7" t="s">
        <v>6</v>
      </c>
      <c r="AK3" s="7" t="s">
        <v>7</v>
      </c>
      <c r="AQ3" s="7" t="s">
        <v>8</v>
      </c>
      <c r="AW3" s="7"/>
      <c r="AX3" s="7"/>
      <c r="AY3" s="7" t="s">
        <v>6</v>
      </c>
      <c r="AZ3" s="7"/>
      <c r="BA3" s="7"/>
      <c r="BB3" s="11" t="s">
        <v>9</v>
      </c>
      <c r="BC3" s="11" t="s">
        <v>10</v>
      </c>
      <c r="BD3" s="11" t="s">
        <v>11</v>
      </c>
      <c r="BE3" s="11" t="s">
        <v>12</v>
      </c>
    </row>
    <row r="4" spans="1:57" ht="12.75">
      <c r="A4" s="24" t="s">
        <v>13</v>
      </c>
      <c r="B4" s="19">
        <v>48</v>
      </c>
      <c r="C4" s="20" t="s">
        <v>14</v>
      </c>
      <c r="E4" s="24" t="s">
        <v>15</v>
      </c>
      <c r="F4" s="32"/>
      <c r="G4" s="25"/>
      <c r="I4" s="24" t="s">
        <v>15</v>
      </c>
      <c r="J4" s="32"/>
      <c r="K4" s="25"/>
      <c r="M4" s="24" t="s">
        <v>16</v>
      </c>
      <c r="N4" s="19">
        <v>11</v>
      </c>
      <c r="O4" s="20" t="str">
        <f>len</f>
        <v>cm</v>
      </c>
      <c r="Q4" s="7" t="s">
        <v>17</v>
      </c>
      <c r="R4" s="11"/>
      <c r="T4" s="7" t="s">
        <v>18</v>
      </c>
      <c r="U4" s="7" t="s">
        <v>19</v>
      </c>
      <c r="V4" s="7" t="s">
        <v>20</v>
      </c>
      <c r="X4" s="7" t="s">
        <v>21</v>
      </c>
      <c r="Y4" s="7" t="s">
        <v>22</v>
      </c>
      <c r="Z4" s="7" t="s">
        <v>23</v>
      </c>
      <c r="AA4" s="7" t="s">
        <v>24</v>
      </c>
      <c r="AC4" s="7" t="s">
        <v>25</v>
      </c>
      <c r="AD4" s="7">
        <f>MAX(AC5:AC49)</f>
        <v>-0.014405754722642907</v>
      </c>
      <c r="AE4" s="7" t="s">
        <v>26</v>
      </c>
      <c r="AF4" s="7" t="s">
        <v>27</v>
      </c>
      <c r="AG4" s="7" t="s">
        <v>28</v>
      </c>
      <c r="AJ4" s="7">
        <f>MIN(SPLDiff)</f>
        <v>17.424850431574527</v>
      </c>
      <c r="AK4" s="7" t="s">
        <v>29</v>
      </c>
      <c r="AL4" s="7" t="s">
        <v>30</v>
      </c>
      <c r="AM4" s="7" t="s">
        <v>31</v>
      </c>
      <c r="AN4" s="7" t="s">
        <v>32</v>
      </c>
      <c r="AO4" s="7" t="s">
        <v>33</v>
      </c>
      <c r="AQ4" s="7" t="s">
        <v>34</v>
      </c>
      <c r="AR4" s="7" t="s">
        <v>35</v>
      </c>
      <c r="AS4" s="7" t="s">
        <v>36</v>
      </c>
      <c r="AT4" s="7" t="s">
        <v>37</v>
      </c>
      <c r="AU4" s="7" t="s">
        <v>38</v>
      </c>
      <c r="AW4" s="7" t="s">
        <v>19</v>
      </c>
      <c r="AX4" s="7" t="s">
        <v>20</v>
      </c>
      <c r="AY4" s="7" t="s">
        <v>25</v>
      </c>
      <c r="AZ4" s="7" t="s">
        <v>18</v>
      </c>
      <c r="BA4" s="7">
        <f>MAX(AY5:AY585)</f>
        <v>-0.14675011651635655</v>
      </c>
      <c r="BB4" s="11">
        <v>1</v>
      </c>
      <c r="BC4" s="11">
        <v>0.5</v>
      </c>
      <c r="BD4" s="35">
        <v>15</v>
      </c>
      <c r="BE4" s="11">
        <f>VLOOKUP(QtcItem,QtcTable,2)</f>
        <v>0.8</v>
      </c>
    </row>
    <row r="5" spans="1:55" ht="12.75">
      <c r="A5" s="24" t="s">
        <v>39</v>
      </c>
      <c r="B5" s="19">
        <v>16</v>
      </c>
      <c r="C5" s="20" t="str">
        <f>vol</f>
        <v>l</v>
      </c>
      <c r="E5" s="24"/>
      <c r="F5" s="32"/>
      <c r="G5" s="25"/>
      <c r="I5" s="24"/>
      <c r="J5" s="32"/>
      <c r="K5" s="25"/>
      <c r="M5" s="24" t="s">
        <v>40</v>
      </c>
      <c r="N5" s="33">
        <f>(PI()*(ConeDia/100)^2/4)*10000</f>
        <v>95.03317777109125</v>
      </c>
      <c r="O5" s="21" t="str">
        <f>area</f>
        <v>cm2</v>
      </c>
      <c r="T5" s="7">
        <v>10</v>
      </c>
      <c r="U5" s="7">
        <f>(F/Fs)^2</f>
        <v>0.04340277777777778</v>
      </c>
      <c r="V5" s="7">
        <f>_Fn2^2</f>
        <v>0.001883801118827161</v>
      </c>
      <c r="X5" s="7">
        <f>10*LOG(_Fn4^2/((_Fn4-_C*_Fn2+_A)^2+_Fn2*(_D*_Fn2-_B)^2))</f>
        <v>-57.50483626969831</v>
      </c>
      <c r="Y5" s="7">
        <f>(PK1/n0)*((_Fn4-_C*_Fn2+_A)^2+_Fn2*(_D*_Fn2-_B)^2)/(_Fn4-_E*_Fn2+_A^2)</f>
        <v>2.6631256408561486</v>
      </c>
      <c r="Z5" s="7">
        <f>PK2+10*LOG(_Fn4^2/(_Fn4-_E*_Fn2+_A^2))</f>
        <v>35.047687664411484</v>
      </c>
      <c r="AA5" s="7">
        <f>PeakSPL+dBmag</f>
        <v>30.79377110387724</v>
      </c>
      <c r="AC5" s="7">
        <f>10*LOG(_Fn4^2/((_Fn4-_Cm*_Fn2+_Am)^2+_Fn2*(_Dm*_Fn2-_Bm)^2))</f>
        <v>-55.54306268585131</v>
      </c>
      <c r="AD5" s="7">
        <f aca="true" t="shared" si="0" ref="AD5:AD49">F</f>
        <v>10</v>
      </c>
      <c r="AE5" s="7">
        <f>(PK1/n0)*((_Fn4-_Cm*_Fn2+_Am)^2+_Fn2*(_Dm*_Fn2-_Bm)^2)/(_Fn4-_Em*_Fn2+_Am^2)</f>
        <v>2.656785218513262</v>
      </c>
      <c r="AF5" s="7">
        <f>PK2+10*LOG(_Fn4^2/(_Fn4-_Em*_Fn2+_Am^2))</f>
        <v>36.99910915096573</v>
      </c>
      <c r="AG5" s="7">
        <f>PeakSPL+dBmagm</f>
        <v>32.75554468772424</v>
      </c>
      <c r="AH5" s="7">
        <f>IF(F&gt;=Fbmod,SPLMaxm,"")</f>
      </c>
      <c r="AI5" s="7">
        <f>IF(SPLMaxmMod&lt;&gt;"",SPLMaxmMod-SPLTherm,"")</f>
      </c>
      <c r="AK5" s="7">
        <f>(F/Fbcl)^2</f>
        <v>0.010556765928999411</v>
      </c>
      <c r="AL5" s="7">
        <f>10*LOG(Frc^2/((Frc-1)^2+Frc/Qtc^2))</f>
        <v>-39.529893826469205</v>
      </c>
      <c r="AM5" s="7">
        <f>_CK2+40*LOG(F/Fbcl)</f>
        <v>64.60717913695422</v>
      </c>
      <c r="AN5" s="7">
        <f>_CK1*((Frc-1)^2+Frc/Qtc^2)/n0</f>
        <v>38.35717014498702</v>
      </c>
      <c r="AO5" s="7">
        <f>dBmagm+PeakSPL</f>
        <v>32.75554468772424</v>
      </c>
      <c r="AQ5" s="7">
        <f>(F/Fbclmod)^2</f>
        <v>0.018601190476190486</v>
      </c>
      <c r="AR5" s="7">
        <f>10*LOG(Frcmod^2/((Frcmod-1)^2+Frcmod/Qtcmod^2))</f>
        <v>-34.73213430543004</v>
      </c>
      <c r="AS5" s="7">
        <f>_CK2mod+40*LOG(F/Fbclmod)</f>
        <v>64.60717913695422</v>
      </c>
      <c r="AT5" s="7">
        <f>_CK1mod*((Frcmod-1)^2+Frcmod/Qtcmod^2)/n0</f>
        <v>12.707806898444797</v>
      </c>
      <c r="AU5" s="7">
        <f>dBMagmcmod+PeakSPL</f>
        <v>53.56647306814551</v>
      </c>
      <c r="AW5" s="7">
        <f>(Fcc/Fs)^2</f>
        <v>0.04340277777777778</v>
      </c>
      <c r="AX5" s="7">
        <f>_Fn2cc^2</f>
        <v>0.001883801118827161</v>
      </c>
      <c r="AY5" s="7">
        <f>10*LOG(_Fn4cc^2/((_Fn4cc-_Cm*_Fn2cc+_Am)^2+_Fn2cc*(_Dm*_Fn2cc-_Bm)^2))</f>
        <v>-55.54306268585131</v>
      </c>
      <c r="AZ5" s="7">
        <v>10</v>
      </c>
      <c r="BA5" s="7"/>
      <c r="BB5" s="11">
        <v>2</v>
      </c>
      <c r="BC5" s="11">
        <v>0.55</v>
      </c>
    </row>
    <row r="6" spans="1:55" ht="12.75">
      <c r="A6" s="24" t="s">
        <v>41</v>
      </c>
      <c r="B6" s="19">
        <v>0.33</v>
      </c>
      <c r="C6" s="20"/>
      <c r="E6" s="24" t="s">
        <v>42</v>
      </c>
      <c r="F6" s="33">
        <f>IF(Mswitch=1,Vb,Vb/l_ft3)</f>
        <v>9.88908476183615</v>
      </c>
      <c r="G6" s="21" t="str">
        <f>vol</f>
        <v>l</v>
      </c>
      <c r="I6" s="24" t="s">
        <v>42</v>
      </c>
      <c r="J6" s="33">
        <f>IF(Mswitch=1,Vbcl,Vbcl/l_ft3)</f>
        <v>5.142428117046203</v>
      </c>
      <c r="K6" s="21" t="str">
        <f>vol</f>
        <v>l</v>
      </c>
      <c r="M6" s="7"/>
      <c r="N6" s="7"/>
      <c r="O6" s="7"/>
      <c r="Q6" s="7" t="s">
        <v>43</v>
      </c>
      <c r="R6" s="7">
        <f>(Fb/Fs)^2</f>
        <v>1.3475894665271246</v>
      </c>
      <c r="T6" s="7">
        <f>T5*Factor</f>
        <v>11.100000000000001</v>
      </c>
      <c r="U6" s="7">
        <f aca="true" t="shared" si="1" ref="U6:U21">(F/Fs)^2</f>
        <v>0.05347656250000002</v>
      </c>
      <c r="V6" s="7">
        <f aca="true" t="shared" si="2" ref="V6:V21">_Fn2^2</f>
        <v>0.0028597427368164084</v>
      </c>
      <c r="X6" s="7">
        <f aca="true" t="shared" si="3" ref="X6:X21">10*LOG(_Fn4^2/((_Fn4-_C*_Fn2+_A)^2+_Fn2*(_D*_Fn2-_B)^2))</f>
        <v>-53.967481858363094</v>
      </c>
      <c r="Y6" s="7">
        <f aca="true" t="shared" si="4" ref="Y6:Y21">(PK1/n0)*((_Fn4-_C*_Fn2+_A)^2+_Fn2*(_D*_Fn2-_B)^2)/(_Fn4-_E*_Fn2+_A^2)</f>
        <v>2.759933949399355</v>
      </c>
      <c r="Z6" s="7">
        <f aca="true" t="shared" si="5" ref="Z6:Z21">PK2+10*LOG(_Fn4^2/(_Fn4-_E*_Fn2+_A^2))</f>
        <v>38.740112401971025</v>
      </c>
      <c r="AA6" s="7">
        <f aca="true" t="shared" si="6" ref="AA6:AA21">PeakSPL+dBmag</f>
        <v>34.331125515212456</v>
      </c>
      <c r="AC6" s="7">
        <f aca="true" t="shared" si="7" ref="AC6:AC21">10*LOG(_Fn4^2/((_Fn4-_Cm*_Fn2+_Am)^2+_Fn2*(_Dm*_Fn2-_Bm)^2))</f>
        <v>-51.9866765414327</v>
      </c>
      <c r="AD6" s="7">
        <f t="shared" si="0"/>
        <v>11.100000000000001</v>
      </c>
      <c r="AE6" s="7">
        <f aca="true" t="shared" si="8" ref="AE6:AE21">(PK1/n0)*((_Fn4-_Cm*_Fn2+_Am)^2+_Fn2*(_Dm*_Fn2-_Bm)^2)/(_Fn4-_Em*_Fn2+_Am^2)</f>
        <v>2.751972142144544</v>
      </c>
      <c r="AF6" s="7">
        <f aca="true" t="shared" si="9" ref="AF6:AF21">PK2+10*LOG(_Fn4^2/(_Fn4-_Em*_Fn2+_Am^2))</f>
        <v>40.70837116493551</v>
      </c>
      <c r="AG6" s="7">
        <f aca="true" t="shared" si="10" ref="AG6:AG21">PeakSPL+dBmagm</f>
        <v>36.31193083214285</v>
      </c>
      <c r="AH6" s="7">
        <f aca="true" t="shared" si="11" ref="AH6:AH21">IF(F&gt;=Fbmod,SPLMaxm,"")</f>
      </c>
      <c r="AI6" s="7">
        <f aca="true" t="shared" si="12" ref="AI6:AI21">IF(SPLMaxmMod&lt;&gt;"",SPLMaxmMod-SPLTherm,"")</f>
      </c>
      <c r="AK6" s="7">
        <f aca="true" t="shared" si="13" ref="AK6:AK21">(F/Fbcl)^2</f>
        <v>0.013006991301120178</v>
      </c>
      <c r="AL6" s="7">
        <f aca="true" t="shared" si="14" ref="AL6:AL21">10*LOG(Frc^2/((Frc-1)^2+Frc/Qtc^2))</f>
        <v>-37.71723181281748</v>
      </c>
      <c r="AM6" s="7">
        <f aca="true" t="shared" si="15" ref="AM6:AM21">_CK2+40*LOG(F/Fbcl)</f>
        <v>66.42009828842052</v>
      </c>
      <c r="AN6" s="7">
        <f aca="true" t="shared" si="16" ref="AN6:AN21">_CK1*((Frc-1)^2+Frc/Qtc^2)/n0</f>
        <v>38.35944127006656</v>
      </c>
      <c r="AO6" s="7">
        <f aca="true" t="shared" si="17" ref="AO6:AO21">dBmagm+PeakSPL</f>
        <v>36.31193083214285</v>
      </c>
      <c r="AQ6" s="7">
        <f aca="true" t="shared" si="18" ref="AQ6:AQ21">(F/Fbclmod)^2</f>
        <v>0.022918526785714297</v>
      </c>
      <c r="AR6" s="7">
        <f aca="true" t="shared" si="19" ref="AR6:AR21">10*LOG(Frcmod^2/((Frcmod-1)^2+Frcmod/Qtcmod^2))</f>
        <v>-32.94767575804866</v>
      </c>
      <c r="AS6" s="7">
        <f aca="true" t="shared" si="20" ref="AS6:AS21">_CK2mod+40*LOG(F/Fbclmod)</f>
        <v>66.4200982884205</v>
      </c>
      <c r="AT6" s="7">
        <f aca="true" t="shared" si="21" ref="AT6:AT21">_CK1mod*((Frcmod-1)^2+Frcmod/Qtcmod^2)/n0</f>
        <v>12.791358391827224</v>
      </c>
      <c r="AU6" s="7">
        <f aca="true" t="shared" si="22" ref="AU6:AU21">dBMagmcmod+PeakSPL</f>
        <v>55.35093161552689</v>
      </c>
      <c r="AW6" s="7">
        <f>(Fcc/Fs)^2</f>
        <v>0.0478515625</v>
      </c>
      <c r="AX6" s="7">
        <f aca="true" t="shared" si="23" ref="AX6:AX21">_Fn2cc^2</f>
        <v>0.0022897720336914062</v>
      </c>
      <c r="AY6" s="7">
        <f aca="true" t="shared" si="24" ref="AY6:AY21">10*LOG(_Fn4cc^2/((_Fn4cc-_Cm*_Fn2cc+_Am)^2+_Fn2cc*(_Dm*_Fn2cc-_Bm)^2))</f>
        <v>-53.87893940235124</v>
      </c>
      <c r="AZ6" s="11">
        <f>AZ5+0.5</f>
        <v>10.5</v>
      </c>
      <c r="BB6" s="11">
        <v>3</v>
      </c>
      <c r="BC6" s="11">
        <v>0.6</v>
      </c>
    </row>
    <row r="7" spans="1:55" ht="12.75">
      <c r="A7" s="24" t="s">
        <v>44</v>
      </c>
      <c r="B7" s="19">
        <v>0.4</v>
      </c>
      <c r="C7" s="20"/>
      <c r="E7" s="24" t="s">
        <v>45</v>
      </c>
      <c r="F7" s="33">
        <f>(Vas/Vb)^0.31*Fs</f>
        <v>55.72114617340974</v>
      </c>
      <c r="G7" s="21" t="s">
        <v>14</v>
      </c>
      <c r="I7" s="24" t="s">
        <v>45</v>
      </c>
      <c r="J7" s="33">
        <f>(Qtc/Qts)*Fs</f>
        <v>97.32727272727274</v>
      </c>
      <c r="K7" s="21" t="s">
        <v>14</v>
      </c>
      <c r="M7" s="1" t="s">
        <v>46</v>
      </c>
      <c r="N7" s="12"/>
      <c r="O7" s="2"/>
      <c r="Q7" s="7" t="s">
        <v>47</v>
      </c>
      <c r="R7" s="7">
        <f>_A/Qts+Fb/(Ql*Fs)</f>
        <v>4.030676664798438</v>
      </c>
      <c r="T7" s="7">
        <f aca="true" t="shared" si="25" ref="T7:T22">T6*Factor</f>
        <v>12.321000000000003</v>
      </c>
      <c r="U7" s="7">
        <f t="shared" si="1"/>
        <v>0.06588847265625003</v>
      </c>
      <c r="V7" s="7">
        <f t="shared" si="2"/>
        <v>0.0043412908289734075</v>
      </c>
      <c r="X7" s="7">
        <f t="shared" si="3"/>
        <v>-50.447101077470116</v>
      </c>
      <c r="Y7" s="7">
        <f t="shared" si="4"/>
        <v>2.882157872302328</v>
      </c>
      <c r="Z7" s="7">
        <f t="shared" si="5"/>
        <v>42.448683955374776</v>
      </c>
      <c r="AA7" s="7">
        <f t="shared" si="6"/>
        <v>37.851506296105434</v>
      </c>
      <c r="AC7" s="7">
        <f t="shared" si="7"/>
        <v>-48.442636682995854</v>
      </c>
      <c r="AD7" s="7">
        <f t="shared" si="0"/>
        <v>12.321000000000003</v>
      </c>
      <c r="AE7" s="7">
        <f t="shared" si="8"/>
        <v>2.872177913962151</v>
      </c>
      <c r="AF7" s="7">
        <f t="shared" si="9"/>
        <v>44.43808407364601</v>
      </c>
      <c r="AG7" s="7">
        <f t="shared" si="10"/>
        <v>39.855970690579696</v>
      </c>
      <c r="AH7" s="7">
        <f t="shared" si="11"/>
      </c>
      <c r="AI7" s="7">
        <f t="shared" si="12"/>
      </c>
      <c r="AK7" s="7">
        <f t="shared" si="13"/>
        <v>0.016025913982110174</v>
      </c>
      <c r="AL7" s="7">
        <f t="shared" si="14"/>
        <v>-35.90470114748499</v>
      </c>
      <c r="AM7" s="7">
        <f t="shared" si="15"/>
        <v>68.23301743988682</v>
      </c>
      <c r="AN7" s="7">
        <f t="shared" si="16"/>
        <v>38.36287276141372</v>
      </c>
      <c r="AO7" s="7">
        <f t="shared" si="17"/>
        <v>39.855970690579696</v>
      </c>
      <c r="AQ7" s="7">
        <f t="shared" si="18"/>
        <v>0.028237916852678596</v>
      </c>
      <c r="AR7" s="7">
        <f t="shared" si="19"/>
        <v>-31.16978164995711</v>
      </c>
      <c r="AS7" s="7">
        <f t="shared" si="20"/>
        <v>68.2330174398868</v>
      </c>
      <c r="AT7" s="7">
        <f t="shared" si="21"/>
        <v>12.89493542496037</v>
      </c>
      <c r="AU7" s="7">
        <f t="shared" si="22"/>
        <v>57.12882572361844</v>
      </c>
      <c r="AW7" s="7">
        <f aca="true" t="shared" si="26" ref="AW7:AW22">(Fcc/Fs)^2</f>
        <v>0.052517361111111105</v>
      </c>
      <c r="AX7" s="7">
        <f t="shared" si="23"/>
        <v>0.002758073218074845</v>
      </c>
      <c r="AY7" s="7">
        <f t="shared" si="24"/>
        <v>-52.29460795739662</v>
      </c>
      <c r="AZ7" s="7">
        <v>11</v>
      </c>
      <c r="BB7" s="11">
        <v>4</v>
      </c>
      <c r="BC7" s="11">
        <v>0.65</v>
      </c>
    </row>
    <row r="8" spans="1:55" ht="12.75">
      <c r="A8" s="24" t="s">
        <v>48</v>
      </c>
      <c r="B8" s="19">
        <v>6</v>
      </c>
      <c r="C8" s="20" t="str">
        <f>len10</f>
        <v>mm</v>
      </c>
      <c r="E8" s="24" t="s">
        <v>49</v>
      </c>
      <c r="F8" s="33">
        <f>(Vas/Vb)^0.44*Fs</f>
        <v>59.31784242906504</v>
      </c>
      <c r="G8" s="21" t="s">
        <v>14</v>
      </c>
      <c r="I8" s="24" t="s">
        <v>49</v>
      </c>
      <c r="J8" s="33">
        <f>Fbcl*((1/Qtc^2-2+((1/Qtc^2-2)^2+4)^0.5)/2)^0.5</f>
        <v>97.34197469519597</v>
      </c>
      <c r="K8" s="21" t="s">
        <v>14</v>
      </c>
      <c r="M8" s="24" t="s">
        <v>50</v>
      </c>
      <c r="N8" s="19">
        <v>2</v>
      </c>
      <c r="O8" s="20" t="str">
        <f>len</f>
        <v>cm</v>
      </c>
      <c r="Q8" s="7" t="s">
        <v>51</v>
      </c>
      <c r="R8" s="7">
        <f>1+_A+(Vas/Vb)+Fb/(Fs*Qts*Ql)</f>
        <v>4.441148987506277</v>
      </c>
      <c r="T8" s="7">
        <f t="shared" si="25"/>
        <v>13.676310000000004</v>
      </c>
      <c r="U8" s="7">
        <f t="shared" si="1"/>
        <v>0.08118118715976569</v>
      </c>
      <c r="V8" s="7">
        <f t="shared" si="2"/>
        <v>0.006590385148668905</v>
      </c>
      <c r="X8" s="7">
        <f t="shared" si="3"/>
        <v>-46.946106333473594</v>
      </c>
      <c r="Y8" s="7">
        <f t="shared" si="4"/>
        <v>3.0374050399889456</v>
      </c>
      <c r="Z8" s="7">
        <f t="shared" si="5"/>
        <v>46.177528132491695</v>
      </c>
      <c r="AA8" s="7">
        <f t="shared" si="6"/>
        <v>41.352501040101956</v>
      </c>
      <c r="AC8" s="7">
        <f t="shared" si="7"/>
        <v>-44.9122175537753</v>
      </c>
      <c r="AD8" s="7">
        <f t="shared" si="0"/>
        <v>13.676310000000004</v>
      </c>
      <c r="AE8" s="7">
        <f t="shared" si="8"/>
        <v>3.0249675515426393</v>
      </c>
      <c r="AF8" s="7">
        <f t="shared" si="9"/>
        <v>48.19359702369649</v>
      </c>
      <c r="AG8" s="7">
        <f t="shared" si="10"/>
        <v>43.38638981980025</v>
      </c>
      <c r="AH8" s="7">
        <f t="shared" si="11"/>
      </c>
      <c r="AI8" s="7">
        <f t="shared" si="12"/>
      </c>
      <c r="AK8" s="7">
        <f t="shared" si="13"/>
        <v>0.01974552861735795</v>
      </c>
      <c r="AL8" s="7">
        <f t="shared" si="14"/>
        <v>-34.092369414523034</v>
      </c>
      <c r="AM8" s="7">
        <f t="shared" si="15"/>
        <v>70.04593659135313</v>
      </c>
      <c r="AN8" s="7">
        <f t="shared" si="16"/>
        <v>38.3680620019803</v>
      </c>
      <c r="AO8" s="7">
        <f t="shared" si="17"/>
        <v>43.38638981980025</v>
      </c>
      <c r="AQ8" s="7">
        <f t="shared" si="18"/>
        <v>0.03479193735418531</v>
      </c>
      <c r="AR8" s="7">
        <f t="shared" si="19"/>
        <v>-29.399952590368304</v>
      </c>
      <c r="AS8" s="7">
        <f t="shared" si="20"/>
        <v>70.0459365913531</v>
      </c>
      <c r="AT8" s="7">
        <f t="shared" si="21"/>
        <v>13.023513987561472</v>
      </c>
      <c r="AU8" s="7">
        <f t="shared" si="22"/>
        <v>58.89865478320725</v>
      </c>
      <c r="AW8" s="7">
        <f t="shared" si="26"/>
        <v>0.05740017361111112</v>
      </c>
      <c r="AX8" s="7">
        <f t="shared" si="23"/>
        <v>0.0032947799305856973</v>
      </c>
      <c r="AY8" s="7">
        <f t="shared" si="24"/>
        <v>-50.78298476877451</v>
      </c>
      <c r="AZ8" s="11">
        <f>AZ7+0.5</f>
        <v>11.5</v>
      </c>
      <c r="BB8" s="11">
        <v>5</v>
      </c>
      <c r="BC8" s="11">
        <v>0.7</v>
      </c>
    </row>
    <row r="9" spans="1:55" ht="12.75">
      <c r="A9" s="24" t="s">
        <v>52</v>
      </c>
      <c r="B9" s="19">
        <v>95</v>
      </c>
      <c r="C9" s="20" t="str">
        <f>area</f>
        <v>cm2</v>
      </c>
      <c r="E9" s="24" t="s">
        <v>53</v>
      </c>
      <c r="F9" s="33">
        <f>IF(Mswitch=1,Lv,Lv/cm_in)</f>
        <v>9.350495869091993</v>
      </c>
      <c r="G9" s="21" t="str">
        <f>len</f>
        <v>cm</v>
      </c>
      <c r="I9" s="24" t="s">
        <v>54</v>
      </c>
      <c r="J9" s="33">
        <v>0.707</v>
      </c>
      <c r="K9" s="21"/>
      <c r="M9" s="24" t="s">
        <v>55</v>
      </c>
      <c r="N9" s="19">
        <v>10</v>
      </c>
      <c r="O9" s="20" t="str">
        <f>len</f>
        <v>cm</v>
      </c>
      <c r="Q9" s="7" t="s">
        <v>56</v>
      </c>
      <c r="R9" s="7">
        <f>1/Qts+Fb/(Fs*Ql)</f>
        <v>3.033802112529088</v>
      </c>
      <c r="T9" s="7">
        <f t="shared" si="25"/>
        <v>15.180704100000007</v>
      </c>
      <c r="U9" s="7">
        <f t="shared" si="1"/>
        <v>0.10002334069954731</v>
      </c>
      <c r="V9" s="7">
        <f t="shared" si="2"/>
        <v>0.010004668684697718</v>
      </c>
      <c r="X9" s="7">
        <f t="shared" si="3"/>
        <v>-43.466903618194706</v>
      </c>
      <c r="Y9" s="7">
        <f t="shared" si="4"/>
        <v>3.236114395158774</v>
      </c>
      <c r="Z9" s="7">
        <f t="shared" si="5"/>
        <v>49.93194240860301</v>
      </c>
      <c r="AA9" s="7">
        <f t="shared" si="6"/>
        <v>44.83170375538084</v>
      </c>
      <c r="AC9" s="7">
        <f t="shared" si="7"/>
        <v>-41.39642421988328</v>
      </c>
      <c r="AD9" s="7">
        <f t="shared" si="0"/>
        <v>15.180704100000007</v>
      </c>
      <c r="AE9" s="7">
        <f t="shared" si="8"/>
        <v>3.22082121913798</v>
      </c>
      <c r="AF9" s="7">
        <f t="shared" si="9"/>
        <v>51.981849341048694</v>
      </c>
      <c r="AG9" s="7">
        <f t="shared" si="10"/>
        <v>46.90218315369227</v>
      </c>
      <c r="AH9" s="7">
        <f t="shared" si="11"/>
      </c>
      <c r="AI9" s="7">
        <f t="shared" si="12"/>
      </c>
      <c r="AK9" s="7">
        <f t="shared" si="13"/>
        <v>0.02432846580944674</v>
      </c>
      <c r="AL9" s="7">
        <f t="shared" si="14"/>
        <v>-32.280339064493106</v>
      </c>
      <c r="AM9" s="7">
        <f t="shared" si="15"/>
        <v>71.85885574281942</v>
      </c>
      <c r="AN9" s="7">
        <f t="shared" si="16"/>
        <v>38.37591498648554</v>
      </c>
      <c r="AO9" s="7">
        <f t="shared" si="17"/>
        <v>46.90218315369227</v>
      </c>
      <c r="AQ9" s="7">
        <f t="shared" si="18"/>
        <v>0.04286714601409173</v>
      </c>
      <c r="AR9" s="7">
        <f t="shared" si="19"/>
        <v>-27.640024261930094</v>
      </c>
      <c r="AS9" s="7">
        <f t="shared" si="20"/>
        <v>71.8588557428194</v>
      </c>
      <c r="AT9" s="7">
        <f t="shared" si="21"/>
        <v>13.183394955745449</v>
      </c>
      <c r="AU9" s="7">
        <f t="shared" si="22"/>
        <v>60.658583111645456</v>
      </c>
      <c r="AW9" s="7">
        <f t="shared" si="26"/>
        <v>0.0625</v>
      </c>
      <c r="AX9" s="7">
        <f t="shared" si="23"/>
        <v>0.00390625</v>
      </c>
      <c r="AY9" s="7">
        <f t="shared" si="24"/>
        <v>-49.33788222930458</v>
      </c>
      <c r="AZ9" s="7">
        <v>12</v>
      </c>
      <c r="BB9" s="11">
        <v>6</v>
      </c>
      <c r="BC9" s="11">
        <v>0.71</v>
      </c>
    </row>
    <row r="10" spans="1:55" ht="12.75">
      <c r="A10" s="24" t="s">
        <v>57</v>
      </c>
      <c r="B10" s="19">
        <v>1</v>
      </c>
      <c r="C10" s="20" t="s">
        <v>58</v>
      </c>
      <c r="E10" s="24"/>
      <c r="F10" s="33"/>
      <c r="G10" s="21"/>
      <c r="I10" s="24" t="s">
        <v>59</v>
      </c>
      <c r="J10" s="33">
        <f>(_CK1/Amax^2)/n0</f>
        <v>38.35265130062015</v>
      </c>
      <c r="K10" s="21" t="s">
        <v>58</v>
      </c>
      <c r="M10" s="24" t="s">
        <v>60</v>
      </c>
      <c r="N10" s="33">
        <f>2*SQRT((PortHeight*PortWidth)/PI())</f>
        <v>5.046265044040321</v>
      </c>
      <c r="O10" s="21" t="s">
        <v>61</v>
      </c>
      <c r="Q10" s="7" t="s">
        <v>62</v>
      </c>
      <c r="R10" s="7">
        <f>(97/49)*_A</f>
        <v>2.667677107206757</v>
      </c>
      <c r="T10" s="7">
        <f t="shared" si="25"/>
        <v>16.85058155100001</v>
      </c>
      <c r="U10" s="7">
        <f t="shared" si="1"/>
        <v>0.12323875807591227</v>
      </c>
      <c r="V10" s="7">
        <f t="shared" si="2"/>
        <v>0.015187791492093232</v>
      </c>
      <c r="X10" s="7">
        <f t="shared" si="3"/>
        <v>-40.01174100966335</v>
      </c>
      <c r="Y10" s="7">
        <f t="shared" si="4"/>
        <v>3.492954928846928</v>
      </c>
      <c r="Z10" s="7">
        <f t="shared" si="5"/>
        <v>53.71879618169902</v>
      </c>
      <c r="AA10" s="7">
        <f t="shared" si="6"/>
        <v>48.286866363912196</v>
      </c>
      <c r="AC10" s="7">
        <f t="shared" si="7"/>
        <v>-37.89580691711988</v>
      </c>
      <c r="AD10" s="7">
        <f t="shared" si="0"/>
        <v>16.85058155100001</v>
      </c>
      <c r="AE10" s="7">
        <f t="shared" si="8"/>
        <v>3.4746859703274575</v>
      </c>
      <c r="AF10" s="7">
        <f t="shared" si="9"/>
        <v>55.81195606365489</v>
      </c>
      <c r="AG10" s="7">
        <f t="shared" si="10"/>
        <v>50.40280045645567</v>
      </c>
      <c r="AH10" s="7">
        <f t="shared" si="11"/>
      </c>
      <c r="AI10" s="7">
        <f t="shared" si="12"/>
      </c>
      <c r="AK10" s="7">
        <f t="shared" si="13"/>
        <v>0.029975102723819327</v>
      </c>
      <c r="AL10" s="7">
        <f t="shared" si="14"/>
        <v>-30.468765392890596</v>
      </c>
      <c r="AM10" s="7">
        <f t="shared" si="15"/>
        <v>73.67177489428572</v>
      </c>
      <c r="AN10" s="7">
        <f t="shared" si="16"/>
        <v>38.387806001031656</v>
      </c>
      <c r="AO10" s="7">
        <f t="shared" si="17"/>
        <v>50.40280045645567</v>
      </c>
      <c r="AQ10" s="7">
        <f t="shared" si="18"/>
        <v>0.05281661060396242</v>
      </c>
      <c r="AR10" s="7">
        <f t="shared" si="19"/>
        <v>-25.892237338228203</v>
      </c>
      <c r="AS10" s="7">
        <f t="shared" si="20"/>
        <v>73.6717748942857</v>
      </c>
      <c r="AT10" s="7">
        <f t="shared" si="21"/>
        <v>13.382599648982133</v>
      </c>
      <c r="AU10" s="7">
        <f t="shared" si="22"/>
        <v>62.40637003534735</v>
      </c>
      <c r="AW10" s="7">
        <f t="shared" si="26"/>
        <v>0.06781684027777779</v>
      </c>
      <c r="AX10" s="7">
        <f t="shared" si="23"/>
        <v>0.004599123825261624</v>
      </c>
      <c r="AY10" s="7">
        <f t="shared" si="24"/>
        <v>-47.95386258020076</v>
      </c>
      <c r="AZ10" s="11">
        <f>AZ9+0.5</f>
        <v>12.5</v>
      </c>
      <c r="BB10" s="11">
        <v>7</v>
      </c>
      <c r="BC10" s="11">
        <v>0.72</v>
      </c>
    </row>
    <row r="11" spans="1:55" ht="12.75">
      <c r="A11" s="24" t="s">
        <v>63</v>
      </c>
      <c r="B11" s="33">
        <f>112+10*LOG(n0)</f>
        <v>88.29860737357555</v>
      </c>
      <c r="C11" s="21" t="s">
        <v>64</v>
      </c>
      <c r="E11" s="24"/>
      <c r="F11" s="33"/>
      <c r="G11" s="21"/>
      <c r="I11" s="24"/>
      <c r="J11" s="33"/>
      <c r="K11" s="21"/>
      <c r="M11" s="7"/>
      <c r="N11" s="7"/>
      <c r="O11" s="7"/>
      <c r="T11" s="7">
        <f t="shared" si="25"/>
        <v>18.704145521610013</v>
      </c>
      <c r="U11" s="7">
        <f t="shared" si="1"/>
        <v>0.15184247382533156</v>
      </c>
      <c r="V11" s="7">
        <f t="shared" si="2"/>
        <v>0.0230561368573965</v>
      </c>
      <c r="X11" s="7">
        <f t="shared" si="3"/>
        <v>-36.582522842375326</v>
      </c>
      <c r="Y11" s="7">
        <f t="shared" si="4"/>
        <v>3.8291496035629162</v>
      </c>
      <c r="Z11" s="7">
        <f t="shared" si="5"/>
        <v>57.547107875357725</v>
      </c>
      <c r="AA11" s="7">
        <f t="shared" si="6"/>
        <v>51.716084531200224</v>
      </c>
      <c r="AC11" s="7">
        <f t="shared" si="7"/>
        <v>-34.41026969383294</v>
      </c>
      <c r="AD11" s="7">
        <f t="shared" si="0"/>
        <v>18.704145521610013</v>
      </c>
      <c r="AE11" s="7">
        <f t="shared" si="8"/>
        <v>3.8086766916756254</v>
      </c>
      <c r="AF11" s="7">
        <f t="shared" si="9"/>
        <v>59.696078761089225</v>
      </c>
      <c r="AG11" s="7">
        <f t="shared" si="10"/>
        <v>53.88833767974261</v>
      </c>
      <c r="AH11" s="7">
        <f t="shared" si="11"/>
      </c>
      <c r="AI11" s="7">
        <f t="shared" si="12"/>
      </c>
      <c r="AK11" s="7">
        <f t="shared" si="13"/>
        <v>0.036932324066017805</v>
      </c>
      <c r="AL11" s="7">
        <f t="shared" si="14"/>
        <v>-28.657883747035157</v>
      </c>
      <c r="AM11" s="7">
        <f t="shared" si="15"/>
        <v>75.48469404575201</v>
      </c>
      <c r="AN11" s="7">
        <f t="shared" si="16"/>
        <v>38.40581998088475</v>
      </c>
      <c r="AO11" s="7">
        <f t="shared" si="17"/>
        <v>53.88833767974261</v>
      </c>
      <c r="AQ11" s="7">
        <f t="shared" si="18"/>
        <v>0.06507534592514212</v>
      </c>
      <c r="AR11" s="7">
        <f t="shared" si="19"/>
        <v>-24.159318843113347</v>
      </c>
      <c r="AS11" s="7">
        <f t="shared" si="20"/>
        <v>75.48469404575201</v>
      </c>
      <c r="AT11" s="7">
        <f t="shared" si="21"/>
        <v>13.631402812349886</v>
      </c>
      <c r="AU11" s="7">
        <f t="shared" si="22"/>
        <v>64.13928853046221</v>
      </c>
      <c r="AW11" s="7">
        <f t="shared" si="26"/>
        <v>0.07335069444444443</v>
      </c>
      <c r="AX11" s="7">
        <f t="shared" si="23"/>
        <v>0.005380324375482252</v>
      </c>
      <c r="AY11" s="7">
        <f t="shared" si="24"/>
        <v>-46.626120506641406</v>
      </c>
      <c r="AZ11" s="7">
        <v>13</v>
      </c>
      <c r="BB11" s="11">
        <v>8</v>
      </c>
      <c r="BC11" s="11">
        <v>0.73</v>
      </c>
    </row>
    <row r="12" spans="1:55" ht="12.75">
      <c r="A12" s="24" t="s">
        <v>65</v>
      </c>
      <c r="B12" s="33">
        <f>SPL+10*LOG(PEMax)</f>
        <v>88.29860737357555</v>
      </c>
      <c r="C12" s="21" t="s">
        <v>64</v>
      </c>
      <c r="E12" s="24" t="s">
        <v>66</v>
      </c>
      <c r="F12" s="32"/>
      <c r="G12" s="25"/>
      <c r="I12" s="24" t="s">
        <v>66</v>
      </c>
      <c r="J12" s="32"/>
      <c r="K12" s="25"/>
      <c r="M12" s="1" t="s">
        <v>67</v>
      </c>
      <c r="N12" s="12"/>
      <c r="O12" s="2"/>
      <c r="T12" s="7">
        <f t="shared" si="25"/>
        <v>20.761601528987114</v>
      </c>
      <c r="U12" s="7">
        <f t="shared" si="1"/>
        <v>0.187085112000191</v>
      </c>
      <c r="V12" s="7">
        <f t="shared" si="2"/>
        <v>0.03500083913212401</v>
      </c>
      <c r="X12" s="7">
        <f t="shared" si="3"/>
        <v>-33.18061621132136</v>
      </c>
      <c r="Y12" s="7">
        <f t="shared" si="4"/>
        <v>4.27652583625804</v>
      </c>
      <c r="Z12" s="7">
        <f t="shared" si="5"/>
        <v>61.42890216350739</v>
      </c>
      <c r="AA12" s="7">
        <f t="shared" si="6"/>
        <v>55.11799116225419</v>
      </c>
      <c r="AC12" s="7">
        <f t="shared" si="7"/>
        <v>-30.938947678288734</v>
      </c>
      <c r="AD12" s="7">
        <f t="shared" si="0"/>
        <v>20.761601528987114</v>
      </c>
      <c r="AE12" s="7">
        <f t="shared" si="8"/>
        <v>4.257069632362622</v>
      </c>
      <c r="AF12" s="7">
        <f t="shared" si="9"/>
        <v>63.650767234651596</v>
      </c>
      <c r="AG12" s="7">
        <f t="shared" si="10"/>
        <v>57.359659695286815</v>
      </c>
      <c r="AH12" s="7">
        <f t="shared" si="11"/>
      </c>
      <c r="AI12" s="7">
        <f t="shared" si="12"/>
      </c>
      <c r="AK12" s="7">
        <f t="shared" si="13"/>
        <v>0.04550431648174054</v>
      </c>
      <c r="AL12" s="7">
        <f t="shared" si="14"/>
        <v>-26.848050637146684</v>
      </c>
      <c r="AM12" s="7">
        <f t="shared" si="15"/>
        <v>77.29761319721831</v>
      </c>
      <c r="AN12" s="7">
        <f t="shared" si="16"/>
        <v>38.43312036859608</v>
      </c>
      <c r="AO12" s="7">
        <f t="shared" si="17"/>
        <v>57.359659695286815</v>
      </c>
      <c r="AQ12" s="7">
        <f t="shared" si="18"/>
        <v>0.08017933371436761</v>
      </c>
      <c r="AR12" s="7">
        <f t="shared" si="19"/>
        <v>-22.444574688023472</v>
      </c>
      <c r="AS12" s="7">
        <f t="shared" si="20"/>
        <v>77.2976131972183</v>
      </c>
      <c r="AT12" s="7">
        <f t="shared" si="21"/>
        <v>13.943058553069617</v>
      </c>
      <c r="AU12" s="7">
        <f t="shared" si="22"/>
        <v>65.85403268555208</v>
      </c>
      <c r="AW12" s="7">
        <f t="shared" si="26"/>
        <v>0.0791015625</v>
      </c>
      <c r="AX12" s="7">
        <f t="shared" si="23"/>
        <v>0.006257057189941406</v>
      </c>
      <c r="AY12" s="7">
        <f t="shared" si="24"/>
        <v>-45.35038794366905</v>
      </c>
      <c r="AZ12" s="11">
        <f>AZ11+0.5</f>
        <v>13.5</v>
      </c>
      <c r="BB12" s="11">
        <v>9</v>
      </c>
      <c r="BC12" s="11">
        <v>0.74</v>
      </c>
    </row>
    <row r="13" spans="1:55" ht="12.75">
      <c r="A13" s="24" t="s">
        <v>68</v>
      </c>
      <c r="B13" s="19">
        <v>5.3</v>
      </c>
      <c r="C13" s="20" t="s">
        <v>69</v>
      </c>
      <c r="E13" s="24"/>
      <c r="F13" s="32"/>
      <c r="G13" s="25"/>
      <c r="I13" s="24"/>
      <c r="J13" s="32"/>
      <c r="K13" s="25"/>
      <c r="M13" s="24" t="s">
        <v>60</v>
      </c>
      <c r="N13" s="19">
        <v>4</v>
      </c>
      <c r="O13" s="20" t="str">
        <f>len</f>
        <v>cm</v>
      </c>
      <c r="T13" s="7">
        <f t="shared" si="25"/>
        <v>23.0453776971757</v>
      </c>
      <c r="U13" s="7">
        <f t="shared" si="1"/>
        <v>0.23050756649543536</v>
      </c>
      <c r="V13" s="7">
        <f t="shared" si="2"/>
        <v>0.05313373821164755</v>
      </c>
      <c r="X13" s="7">
        <f t="shared" si="3"/>
        <v>-29.806712379093682</v>
      </c>
      <c r="Y13" s="7">
        <f t="shared" si="4"/>
        <v>4.884986640755282</v>
      </c>
      <c r="Z13" s="7">
        <f t="shared" si="5"/>
        <v>65.38052879815322</v>
      </c>
      <c r="AA13" s="7">
        <f t="shared" si="6"/>
        <v>58.49189499448187</v>
      </c>
      <c r="AC13" s="7">
        <f t="shared" si="7"/>
        <v>-27.48032316591679</v>
      </c>
      <c r="AD13" s="7">
        <f t="shared" si="0"/>
        <v>23.0453776971757</v>
      </c>
      <c r="AE13" s="7">
        <f t="shared" si="8"/>
        <v>4.876218074263314</v>
      </c>
      <c r="AF13" s="7">
        <f t="shared" si="9"/>
        <v>67.69911540667798</v>
      </c>
      <c r="AG13" s="7">
        <f t="shared" si="10"/>
        <v>60.81828420765876</v>
      </c>
      <c r="AH13" s="7">
        <f t="shared" si="11"/>
      </c>
      <c r="AI13" s="7">
        <f t="shared" si="12"/>
      </c>
      <c r="AK13" s="7">
        <f t="shared" si="13"/>
        <v>0.056065868337152526</v>
      </c>
      <c r="AL13" s="7">
        <f t="shared" si="14"/>
        <v>-25.039805715023068</v>
      </c>
      <c r="AM13" s="7">
        <f t="shared" si="15"/>
        <v>79.11053234868461</v>
      </c>
      <c r="AN13" s="7">
        <f t="shared" si="16"/>
        <v>38.47450747700172</v>
      </c>
      <c r="AO13" s="7">
        <f t="shared" si="17"/>
        <v>60.81828420765876</v>
      </c>
      <c r="AQ13" s="7">
        <f t="shared" si="18"/>
        <v>0.09878895706947236</v>
      </c>
      <c r="AR13" s="7">
        <f t="shared" si="19"/>
        <v>-20.75199137236345</v>
      </c>
      <c r="AS13" s="7">
        <f t="shared" si="20"/>
        <v>79.1105323486846</v>
      </c>
      <c r="AT13" s="7">
        <f t="shared" si="21"/>
        <v>14.334799891916918</v>
      </c>
      <c r="AU13" s="7">
        <f t="shared" si="22"/>
        <v>67.5466160012121</v>
      </c>
      <c r="AW13" s="7">
        <f t="shared" si="26"/>
        <v>0.08506944444444446</v>
      </c>
      <c r="AX13" s="7">
        <f t="shared" si="23"/>
        <v>0.007236810378086423</v>
      </c>
      <c r="AY13" s="7">
        <f t="shared" si="24"/>
        <v>-44.1228562399104</v>
      </c>
      <c r="AZ13" s="7">
        <v>14</v>
      </c>
      <c r="BB13" s="11">
        <v>10</v>
      </c>
      <c r="BC13" s="11">
        <v>0.75</v>
      </c>
    </row>
    <row r="14" spans="1:55" ht="12.75">
      <c r="A14" s="24" t="s">
        <v>70</v>
      </c>
      <c r="B14" s="19">
        <v>0.3</v>
      </c>
      <c r="C14" s="20" t="s">
        <v>69</v>
      </c>
      <c r="E14" s="24" t="s">
        <v>42</v>
      </c>
      <c r="F14" s="19">
        <v>12</v>
      </c>
      <c r="G14" s="20" t="str">
        <f>vol</f>
        <v>l</v>
      </c>
      <c r="I14" s="24" t="s">
        <v>42</v>
      </c>
      <c r="J14" s="19">
        <v>12</v>
      </c>
      <c r="K14" s="20" t="str">
        <f>vol</f>
        <v>l</v>
      </c>
      <c r="M14" s="24" t="s">
        <v>71</v>
      </c>
      <c r="N14" s="19">
        <v>2</v>
      </c>
      <c r="O14" s="20" t="str">
        <f>len</f>
        <v>cm</v>
      </c>
      <c r="Q14" s="7" t="s">
        <v>72</v>
      </c>
      <c r="R14" s="7">
        <f>(Fbmod/Fs)^2</f>
        <v>1.0850694444444446</v>
      </c>
      <c r="T14" s="7">
        <f t="shared" si="25"/>
        <v>25.58036924386503</v>
      </c>
      <c r="U14" s="7">
        <f t="shared" si="1"/>
        <v>0.28400837267902596</v>
      </c>
      <c r="V14" s="7">
        <f t="shared" si="2"/>
        <v>0.0806607557517885</v>
      </c>
      <c r="X14" s="7">
        <f t="shared" si="3"/>
        <v>-26.460873026364634</v>
      </c>
      <c r="Y14" s="7">
        <f t="shared" si="4"/>
        <v>5.737257879184517</v>
      </c>
      <c r="Z14" s="7">
        <f t="shared" si="5"/>
        <v>69.4247780578007</v>
      </c>
      <c r="AA14" s="7">
        <f t="shared" si="6"/>
        <v>61.83773434721091</v>
      </c>
      <c r="AC14" s="7">
        <f t="shared" si="7"/>
        <v>-24.0329524422364</v>
      </c>
      <c r="AD14" s="7">
        <f t="shared" si="0"/>
        <v>25.58036924386503</v>
      </c>
      <c r="AE14" s="7">
        <f t="shared" si="8"/>
        <v>5.766004544909929</v>
      </c>
      <c r="AF14" s="7">
        <f t="shared" si="9"/>
        <v>71.87440473508082</v>
      </c>
      <c r="AG14" s="7">
        <f t="shared" si="10"/>
        <v>64.26565493133916</v>
      </c>
      <c r="AH14" s="7">
        <f t="shared" si="11"/>
      </c>
      <c r="AI14" s="7">
        <f t="shared" si="12"/>
      </c>
      <c r="AK14" s="7">
        <f t="shared" si="13"/>
        <v>0.06907875637820565</v>
      </c>
      <c r="AL14" s="7">
        <f t="shared" si="14"/>
        <v>-23.23396488428932</v>
      </c>
      <c r="AM14" s="7">
        <f t="shared" si="15"/>
        <v>80.92345150015092</v>
      </c>
      <c r="AN14" s="7">
        <f t="shared" si="16"/>
        <v>38.5372660354395</v>
      </c>
      <c r="AO14" s="7">
        <f t="shared" si="17"/>
        <v>64.26565493133916</v>
      </c>
      <c r="AQ14" s="7">
        <f t="shared" si="18"/>
        <v>0.1217178740052969</v>
      </c>
      <c r="AR14" s="7">
        <f t="shared" si="19"/>
        <v>-19.08634185446276</v>
      </c>
      <c r="AS14" s="7">
        <f t="shared" si="20"/>
        <v>80.92345150015089</v>
      </c>
      <c r="AT14" s="7">
        <f t="shared" si="21"/>
        <v>14.82922989768184</v>
      </c>
      <c r="AU14" s="7">
        <f t="shared" si="22"/>
        <v>69.21226551911279</v>
      </c>
      <c r="AW14" s="7">
        <f t="shared" si="26"/>
        <v>0.09125434027777776</v>
      </c>
      <c r="AX14" s="7">
        <f t="shared" si="23"/>
        <v>0.008327354619532453</v>
      </c>
      <c r="AY14" s="7">
        <f t="shared" si="24"/>
        <v>-42.94011201973393</v>
      </c>
      <c r="AZ14" s="11">
        <f>AZ13+0.5</f>
        <v>14.5</v>
      </c>
      <c r="BB14" s="11">
        <v>11</v>
      </c>
      <c r="BC14" s="11">
        <v>0.76</v>
      </c>
    </row>
    <row r="15" spans="1:55" ht="12.75">
      <c r="A15" s="24" t="s">
        <v>73</v>
      </c>
      <c r="B15" s="33">
        <f>IF(Re&gt;0,(Qts0*(Re+Rvc))/Re,Qts0)</f>
        <v>0.34867924528301886</v>
      </c>
      <c r="C15" s="21"/>
      <c r="E15" s="24" t="s">
        <v>74</v>
      </c>
      <c r="F15" s="22">
        <v>50</v>
      </c>
      <c r="G15" s="23" t="s">
        <v>14</v>
      </c>
      <c r="I15" s="24" t="s">
        <v>45</v>
      </c>
      <c r="J15" s="33">
        <f>(Qtcmod/Qts)*Fs</f>
        <v>73.32121111929342</v>
      </c>
      <c r="K15" s="21" t="s">
        <v>14</v>
      </c>
      <c r="M15" s="24" t="s">
        <v>75</v>
      </c>
      <c r="N15" s="33">
        <f>((PI()*(CportDia/100)^2/4)*10000)/RSide1</f>
        <v>6.283185307179586</v>
      </c>
      <c r="O15" s="21" t="str">
        <f>len</f>
        <v>cm</v>
      </c>
      <c r="Q15" s="7" t="s">
        <v>76</v>
      </c>
      <c r="R15" s="7">
        <f>_Am/Qts+Fbmod/(Ql*Fs)</f>
        <v>3.260751112313613</v>
      </c>
      <c r="T15" s="7">
        <f t="shared" si="25"/>
        <v>28.394209860690186</v>
      </c>
      <c r="U15" s="7">
        <f t="shared" si="1"/>
        <v>0.349926715977828</v>
      </c>
      <c r="V15" s="7">
        <f t="shared" si="2"/>
        <v>0.1224487065550275</v>
      </c>
      <c r="X15" s="7">
        <f t="shared" si="3"/>
        <v>-23.143022374825755</v>
      </c>
      <c r="Y15" s="7">
        <f t="shared" si="4"/>
        <v>6.980496766286451</v>
      </c>
      <c r="Z15" s="7">
        <f t="shared" si="5"/>
        <v>73.59444830117074</v>
      </c>
      <c r="AA15" s="7">
        <f t="shared" si="6"/>
        <v>65.15558499874979</v>
      </c>
      <c r="AC15" s="7">
        <f t="shared" si="7"/>
        <v>-20.597604600320757</v>
      </c>
      <c r="AD15" s="7">
        <f t="shared" si="0"/>
        <v>28.394209860690186</v>
      </c>
      <c r="AE15" s="7">
        <f t="shared" si="8"/>
        <v>7.121391608135376</v>
      </c>
      <c r="AF15" s="7">
        <f t="shared" si="9"/>
        <v>76.2266514577692</v>
      </c>
      <c r="AG15" s="7">
        <f t="shared" si="10"/>
        <v>67.7010027732548</v>
      </c>
      <c r="AH15" s="7">
        <f t="shared" si="11"/>
      </c>
      <c r="AI15" s="7">
        <f t="shared" si="12"/>
      </c>
      <c r="AK15" s="7">
        <f t="shared" si="13"/>
        <v>0.08511193573358719</v>
      </c>
      <c r="AL15" s="7">
        <f t="shared" si="14"/>
        <v>-21.431759426740975</v>
      </c>
      <c r="AM15" s="7">
        <f t="shared" si="15"/>
        <v>82.73637065161721</v>
      </c>
      <c r="AN15" s="7">
        <f t="shared" si="16"/>
        <v>38.632451715995494</v>
      </c>
      <c r="AO15" s="7">
        <f t="shared" si="17"/>
        <v>67.7010027732548</v>
      </c>
      <c r="AQ15" s="7">
        <f t="shared" si="18"/>
        <v>0.14996859256192638</v>
      </c>
      <c r="AR15" s="7">
        <f t="shared" si="19"/>
        <v>-17.453285917677483</v>
      </c>
      <c r="AS15" s="7">
        <f t="shared" si="20"/>
        <v>82.7363706516172</v>
      </c>
      <c r="AT15" s="7">
        <f t="shared" si="21"/>
        <v>15.456277968489642</v>
      </c>
      <c r="AU15" s="7">
        <f t="shared" si="22"/>
        <v>70.84532145589807</v>
      </c>
      <c r="AW15" s="7">
        <f t="shared" si="26"/>
        <v>0.09765625</v>
      </c>
      <c r="AX15" s="7">
        <f t="shared" si="23"/>
        <v>0.0095367431640625</v>
      </c>
      <c r="AY15" s="7">
        <f t="shared" si="24"/>
        <v>-41.799083953747854</v>
      </c>
      <c r="AZ15" s="7">
        <v>15</v>
      </c>
      <c r="BB15" s="11">
        <v>12</v>
      </c>
      <c r="BC15" s="11">
        <v>0.77</v>
      </c>
    </row>
    <row r="16" spans="5:55" ht="12.75">
      <c r="E16" s="24" t="s">
        <v>45</v>
      </c>
      <c r="F16" s="33">
        <f>IF($F$15&lt;=0,(Vas/Vbmod)^0.31*Fs,$F$15)</f>
        <v>50</v>
      </c>
      <c r="G16" s="21" t="s">
        <v>14</v>
      </c>
      <c r="I16" s="24" t="s">
        <v>49</v>
      </c>
      <c r="J16" s="33">
        <f>Fbclmod*((1/Qtcmod^2-2+((1/Qtcmod^2-2)^2+4)^0.5)/2)^0.5</f>
        <v>104.21204715551332</v>
      </c>
      <c r="K16" s="21" t="s">
        <v>14</v>
      </c>
      <c r="M16" s="7"/>
      <c r="N16" s="7"/>
      <c r="O16" s="7"/>
      <c r="Q16" s="7" t="s">
        <v>77</v>
      </c>
      <c r="R16" s="7">
        <f>1+_Am+(Vas/Vbmod)+Fbmod/(Fs*Qts*Ql)</f>
        <v>3.84518333848691</v>
      </c>
      <c r="T16" s="7">
        <f t="shared" si="25"/>
        <v>31.51757294536611</v>
      </c>
      <c r="U16" s="7">
        <f t="shared" si="1"/>
        <v>0.431144706756282</v>
      </c>
      <c r="V16" s="7">
        <f t="shared" si="2"/>
        <v>0.1858857581639604</v>
      </c>
      <c r="X16" s="7">
        <f t="shared" si="3"/>
        <v>-19.85440860265011</v>
      </c>
      <c r="Y16" s="7">
        <f t="shared" si="4"/>
        <v>8.901314810877144</v>
      </c>
      <c r="Z16" s="7">
        <f t="shared" si="5"/>
        <v>77.93874037999744</v>
      </c>
      <c r="AA16" s="7">
        <f t="shared" si="6"/>
        <v>68.44419877092544</v>
      </c>
      <c r="AC16" s="7">
        <f t="shared" si="7"/>
        <v>-17.18249779206121</v>
      </c>
      <c r="AD16" s="7">
        <f t="shared" si="0"/>
        <v>31.51757294536611</v>
      </c>
      <c r="AE16" s="7">
        <f t="shared" si="8"/>
        <v>9.373867386620997</v>
      </c>
      <c r="AF16" s="7">
        <f t="shared" si="9"/>
        <v>80.83529763355881</v>
      </c>
      <c r="AG16" s="7">
        <f t="shared" si="10"/>
        <v>71.11610958151434</v>
      </c>
      <c r="AH16" s="7">
        <f t="shared" si="11"/>
      </c>
      <c r="AI16" s="7">
        <f t="shared" si="12"/>
      </c>
      <c r="AK16" s="7">
        <f t="shared" si="13"/>
        <v>0.10486641601735282</v>
      </c>
      <c r="AL16" s="7">
        <f t="shared" si="14"/>
        <v>-19.635042169484482</v>
      </c>
      <c r="AM16" s="7">
        <f t="shared" si="15"/>
        <v>84.54928980308351</v>
      </c>
      <c r="AN16" s="7">
        <f t="shared" si="16"/>
        <v>38.77684403714171</v>
      </c>
      <c r="AO16" s="7">
        <f t="shared" si="17"/>
        <v>71.11610958151434</v>
      </c>
      <c r="AQ16" s="7">
        <f t="shared" si="18"/>
        <v>0.18477630289554947</v>
      </c>
      <c r="AR16" s="7">
        <f t="shared" si="19"/>
        <v>-15.859448583165435</v>
      </c>
      <c r="AS16" s="7">
        <f t="shared" si="20"/>
        <v>84.5492898030835</v>
      </c>
      <c r="AT16" s="7">
        <f t="shared" si="21"/>
        <v>16.255977940665083</v>
      </c>
      <c r="AU16" s="7">
        <f t="shared" si="22"/>
        <v>72.43915879041012</v>
      </c>
      <c r="AW16" s="7">
        <f t="shared" si="26"/>
        <v>0.10427517361111112</v>
      </c>
      <c r="AX16" s="7">
        <f t="shared" si="23"/>
        <v>0.010873311831627364</v>
      </c>
      <c r="AY16" s="7">
        <f t="shared" si="24"/>
        <v>-40.69699828864085</v>
      </c>
      <c r="AZ16" s="11">
        <f>AZ15+0.5</f>
        <v>15.5</v>
      </c>
      <c r="BB16" s="11">
        <v>13</v>
      </c>
      <c r="BC16" s="11">
        <v>0.78</v>
      </c>
    </row>
    <row r="17" spans="1:55" ht="12.75">
      <c r="A17" s="1" t="s">
        <v>78</v>
      </c>
      <c r="B17" s="2"/>
      <c r="C17" s="2"/>
      <c r="E17" s="24" t="s">
        <v>49</v>
      </c>
      <c r="F17" s="33">
        <f>IF($F$15&lt;=0,(Vas/Vbmod)^0.44*Fs,VLOOKUP(-3,$AY$5:$AZ$585,2))</f>
        <v>54</v>
      </c>
      <c r="G17" s="21" t="s">
        <v>14</v>
      </c>
      <c r="I17" s="24" t="s">
        <v>54</v>
      </c>
      <c r="J17" s="33">
        <f>Qts*SQRT(Vas/Vbmodcl+1)</f>
        <v>0.5326163449231692</v>
      </c>
      <c r="K17" s="21"/>
      <c r="M17" s="1" t="s">
        <v>79</v>
      </c>
      <c r="N17" s="2"/>
      <c r="O17" s="2"/>
      <c r="Q17" s="7" t="s">
        <v>80</v>
      </c>
      <c r="R17" s="7">
        <f>1/Qts+Fbmod/(Fs*Ql)</f>
        <v>3.016774891774892</v>
      </c>
      <c r="T17" s="7">
        <f t="shared" si="25"/>
        <v>34.984505969356384</v>
      </c>
      <c r="U17" s="7">
        <f t="shared" si="1"/>
        <v>0.5312133931944152</v>
      </c>
      <c r="V17" s="7">
        <f t="shared" si="2"/>
        <v>0.28218766910912435</v>
      </c>
      <c r="X17" s="7">
        <f t="shared" si="3"/>
        <v>-16.601074715912443</v>
      </c>
      <c r="Y17" s="7">
        <f t="shared" si="4"/>
        <v>12.128526033226036</v>
      </c>
      <c r="Z17" s="7">
        <f t="shared" si="5"/>
        <v>82.53561290496661</v>
      </c>
      <c r="AA17" s="7">
        <f t="shared" si="6"/>
        <v>71.6975326576631</v>
      </c>
      <c r="AC17" s="7">
        <f t="shared" si="7"/>
        <v>-13.814880564517882</v>
      </c>
      <c r="AD17" s="7">
        <f t="shared" si="0"/>
        <v>34.984505969356384</v>
      </c>
      <c r="AE17" s="7">
        <f t="shared" si="8"/>
        <v>13.653680303482439</v>
      </c>
      <c r="AF17" s="7">
        <f t="shared" si="9"/>
        <v>85.83622410675348</v>
      </c>
      <c r="AG17" s="7">
        <f t="shared" si="10"/>
        <v>74.48372680905767</v>
      </c>
      <c r="AH17" s="7">
        <f t="shared" si="11"/>
      </c>
      <c r="AI17" s="7">
        <f t="shared" si="12"/>
      </c>
      <c r="AK17" s="7">
        <f t="shared" si="13"/>
        <v>0.12920591117498043</v>
      </c>
      <c r="AL17" s="7">
        <f t="shared" si="14"/>
        <v>-17.846589106997804</v>
      </c>
      <c r="AM17" s="7">
        <f t="shared" si="15"/>
        <v>86.36220895454981</v>
      </c>
      <c r="AN17" s="7">
        <f t="shared" si="16"/>
        <v>38.99591084411992</v>
      </c>
      <c r="AO17" s="7">
        <f t="shared" si="17"/>
        <v>74.48372680905767</v>
      </c>
      <c r="AQ17" s="7">
        <f t="shared" si="18"/>
        <v>0.22766288279760657</v>
      </c>
      <c r="AR17" s="7">
        <f t="shared" si="19"/>
        <v>-14.312451335199164</v>
      </c>
      <c r="AS17" s="7">
        <f t="shared" si="20"/>
        <v>86.3622089545498</v>
      </c>
      <c r="AT17" s="7">
        <f t="shared" si="21"/>
        <v>17.282449304476412</v>
      </c>
      <c r="AU17" s="7">
        <f t="shared" si="22"/>
        <v>73.98615603837638</v>
      </c>
      <c r="AW17" s="7">
        <f t="shared" si="26"/>
        <v>0.1111111111111111</v>
      </c>
      <c r="AX17" s="7">
        <f t="shared" si="23"/>
        <v>0.012345679012345678</v>
      </c>
      <c r="AY17" s="7">
        <f t="shared" si="24"/>
        <v>-39.63134146553526</v>
      </c>
      <c r="AZ17" s="7">
        <v>16</v>
      </c>
      <c r="BB17" s="11">
        <v>14</v>
      </c>
      <c r="BC17" s="11">
        <v>0.79</v>
      </c>
    </row>
    <row r="18" spans="1:55" ht="12.75">
      <c r="A18" s="18" t="s">
        <v>81</v>
      </c>
      <c r="B18" s="19">
        <v>1</v>
      </c>
      <c r="C18" s="20"/>
      <c r="E18" s="24" t="s">
        <v>82</v>
      </c>
      <c r="F18" s="33" t="str">
        <f>IF($F$15&lt;=0,20*LOG(Qts*(Vas/Vbmod)^0.3/0.4),IF($BA$4&gt;=0,$BA$4,"&lt;0"))</f>
        <v>&lt;0</v>
      </c>
      <c r="G18" s="21" t="s">
        <v>64</v>
      </c>
      <c r="I18" s="24" t="s">
        <v>82</v>
      </c>
      <c r="J18" s="33">
        <f>IF(Qtcmod&gt;(1/2)^0.5,20*LOG(Qtcmod^2/(Qtcmod^2-0.25)^0.5),0)</f>
        <v>0</v>
      </c>
      <c r="K18" s="21" t="s">
        <v>64</v>
      </c>
      <c r="M18" s="24" t="s">
        <v>83</v>
      </c>
      <c r="N18" s="34">
        <f>0.732</f>
        <v>0.732</v>
      </c>
      <c r="O18" s="26"/>
      <c r="Q18" s="7" t="s">
        <v>84</v>
      </c>
      <c r="R18" s="7">
        <f>(97/49)*_Am</f>
        <v>2.147994614512472</v>
      </c>
      <c r="T18" s="7">
        <f t="shared" si="25"/>
        <v>38.83280162598559</v>
      </c>
      <c r="U18" s="7">
        <f t="shared" si="1"/>
        <v>0.6545080217548389</v>
      </c>
      <c r="V18" s="7">
        <f t="shared" si="2"/>
        <v>0.4283807505414327</v>
      </c>
      <c r="X18" s="7">
        <f t="shared" si="3"/>
        <v>-13.40128287172232</v>
      </c>
      <c r="Y18" s="7">
        <f t="shared" si="4"/>
        <v>18.28375276545589</v>
      </c>
      <c r="Z18" s="7">
        <f t="shared" si="5"/>
        <v>87.51797790273399</v>
      </c>
      <c r="AA18" s="7">
        <f t="shared" si="6"/>
        <v>74.89732450185323</v>
      </c>
      <c r="AC18" s="7">
        <f t="shared" si="7"/>
        <v>-10.563526985840749</v>
      </c>
      <c r="AD18" s="7">
        <f t="shared" si="0"/>
        <v>38.83280162598559</v>
      </c>
      <c r="AE18" s="7">
        <f t="shared" si="8"/>
        <v>23.717693543662048</v>
      </c>
      <c r="AF18" s="7">
        <f t="shared" si="9"/>
        <v>91.48580492016985</v>
      </c>
      <c r="AG18" s="7">
        <f t="shared" si="10"/>
        <v>77.7350803877348</v>
      </c>
      <c r="AH18" s="7">
        <f t="shared" si="11"/>
      </c>
      <c r="AI18" s="7">
        <f t="shared" si="12"/>
      </c>
      <c r="AK18" s="7">
        <f t="shared" si="13"/>
        <v>0.1591946031586934</v>
      </c>
      <c r="AL18" s="7">
        <f t="shared" si="14"/>
        <v>-16.070531935274428</v>
      </c>
      <c r="AM18" s="7">
        <f t="shared" si="15"/>
        <v>88.1751281060161</v>
      </c>
      <c r="AN18" s="7">
        <f t="shared" si="16"/>
        <v>39.32830839579239</v>
      </c>
      <c r="AO18" s="7">
        <f t="shared" si="17"/>
        <v>77.7350803877348</v>
      </c>
      <c r="AQ18" s="7">
        <f t="shared" si="18"/>
        <v>0.28050343789493115</v>
      </c>
      <c r="AR18" s="7">
        <f t="shared" si="19"/>
        <v>-12.8208613224112</v>
      </c>
      <c r="AS18" s="7">
        <f t="shared" si="20"/>
        <v>88.17512810601609</v>
      </c>
      <c r="AT18" s="7">
        <f t="shared" si="21"/>
        <v>18.60965001062298</v>
      </c>
      <c r="AU18" s="7">
        <f t="shared" si="22"/>
        <v>75.47774605116435</v>
      </c>
      <c r="AW18" s="7">
        <f t="shared" si="26"/>
        <v>0.1181640625</v>
      </c>
      <c r="AX18" s="7">
        <f t="shared" si="23"/>
        <v>0.013962745666503906</v>
      </c>
      <c r="AY18" s="7">
        <f t="shared" si="24"/>
        <v>-38.59982851641583</v>
      </c>
      <c r="AZ18" s="11">
        <f>AZ17+0.5</f>
        <v>16.5</v>
      </c>
      <c r="BB18" s="11">
        <v>15</v>
      </c>
      <c r="BC18" s="11">
        <v>0.8</v>
      </c>
    </row>
    <row r="19" spans="1:55" ht="12.75">
      <c r="A19" s="18" t="s">
        <v>85</v>
      </c>
      <c r="B19" s="19">
        <v>4</v>
      </c>
      <c r="C19" s="20" t="str">
        <f>len</f>
        <v>cm</v>
      </c>
      <c r="E19" s="24" t="s">
        <v>53</v>
      </c>
      <c r="F19" s="33">
        <f>IF(Mswitch=1,PortLengthMod,PortLengthMod/cm_in)</f>
        <v>9.638666666666666</v>
      </c>
      <c r="G19" s="21" t="str">
        <f>len</f>
        <v>cm</v>
      </c>
      <c r="I19" s="24" t="s">
        <v>59</v>
      </c>
      <c r="J19" s="33">
        <f>(_CK1mod/Amaxmod^2)/n0</f>
        <v>12.353092585301995</v>
      </c>
      <c r="K19" s="21" t="s">
        <v>58</v>
      </c>
      <c r="M19" s="24" t="s">
        <v>86</v>
      </c>
      <c r="N19" s="34">
        <v>7</v>
      </c>
      <c r="O19" s="26"/>
      <c r="T19" s="7">
        <f t="shared" si="25"/>
        <v>43.10440980484401</v>
      </c>
      <c r="U19" s="7">
        <f t="shared" si="1"/>
        <v>0.8064193336041374</v>
      </c>
      <c r="V19" s="7">
        <f t="shared" si="2"/>
        <v>0.6503121416105411</v>
      </c>
      <c r="X19" s="7">
        <f t="shared" si="3"/>
        <v>-10.29980733282832</v>
      </c>
      <c r="Y19" s="7">
        <f t="shared" si="4"/>
        <v>32.634471866411545</v>
      </c>
      <c r="Z19" s="7">
        <f t="shared" si="5"/>
        <v>93.13556592843837</v>
      </c>
      <c r="AA19" s="7">
        <f t="shared" si="6"/>
        <v>77.99880004074723</v>
      </c>
      <c r="AC19" s="7">
        <f t="shared" si="7"/>
        <v>-7.5708179960616135</v>
      </c>
      <c r="AD19" s="7">
        <f t="shared" si="0"/>
        <v>43.10440980484401</v>
      </c>
      <c r="AE19" s="7">
        <f t="shared" si="8"/>
        <v>57.428644567092796</v>
      </c>
      <c r="AF19" s="7">
        <f t="shared" si="9"/>
        <v>98.31907503919746</v>
      </c>
      <c r="AG19" s="7">
        <f t="shared" si="10"/>
        <v>80.72778937751394</v>
      </c>
      <c r="AH19" s="7">
        <f t="shared" si="11"/>
      </c>
      <c r="AI19" s="7">
        <f t="shared" si="12"/>
      </c>
      <c r="AK19" s="7">
        <f t="shared" si="13"/>
        <v>0.1961436705518262</v>
      </c>
      <c r="AL19" s="7">
        <f t="shared" si="14"/>
        <v>-14.312958939932685</v>
      </c>
      <c r="AM19" s="7">
        <f t="shared" si="15"/>
        <v>89.9880472574824</v>
      </c>
      <c r="AN19" s="7">
        <f t="shared" si="16"/>
        <v>39.83271256309099</v>
      </c>
      <c r="AO19" s="7">
        <f t="shared" si="17"/>
        <v>80.72778937751394</v>
      </c>
      <c r="AQ19" s="7">
        <f t="shared" si="18"/>
        <v>0.3456082858303447</v>
      </c>
      <c r="AR19" s="7">
        <f t="shared" si="19"/>
        <v>-11.394016466655462</v>
      </c>
      <c r="AS19" s="7">
        <f t="shared" si="20"/>
        <v>89.98804725748239</v>
      </c>
      <c r="AT19" s="7">
        <f t="shared" si="21"/>
        <v>20.339751144549115</v>
      </c>
      <c r="AU19" s="7">
        <f t="shared" si="22"/>
        <v>76.90459090692009</v>
      </c>
      <c r="AW19" s="7">
        <f t="shared" si="26"/>
        <v>0.1254340277777778</v>
      </c>
      <c r="AX19" s="7">
        <f t="shared" si="23"/>
        <v>0.01573369532455633</v>
      </c>
      <c r="AY19" s="7">
        <f t="shared" si="24"/>
        <v>-37.60037620247698</v>
      </c>
      <c r="AZ19" s="7">
        <v>17</v>
      </c>
      <c r="BB19" s="11">
        <v>16</v>
      </c>
      <c r="BC19" s="11">
        <v>0.81</v>
      </c>
    </row>
    <row r="20" spans="1:55" ht="12.75">
      <c r="A20" s="24" t="str">
        <f>IF(B20&lt;B19,"Min port dia","Min port dia !!!")</f>
        <v>Min port dia !!!</v>
      </c>
      <c r="B20" s="33">
        <f>IF(Mswitch=1,MinDia,MinDia/cm_in)</f>
        <v>5.763561938102576</v>
      </c>
      <c r="C20" s="21" t="str">
        <f>len</f>
        <v>cm</v>
      </c>
      <c r="E20" s="24"/>
      <c r="F20" s="33"/>
      <c r="G20" s="21"/>
      <c r="I20" s="24"/>
      <c r="J20" s="33"/>
      <c r="K20" s="21"/>
      <c r="M20" s="24" t="s">
        <v>87</v>
      </c>
      <c r="N20" s="34">
        <v>0</v>
      </c>
      <c r="O20" s="26" t="s">
        <v>64</v>
      </c>
      <c r="Q20" s="7" t="s">
        <v>88</v>
      </c>
      <c r="R20" s="7">
        <f>Sdcm2/10000</f>
        <v>0.0095</v>
      </c>
      <c r="T20" s="7">
        <f t="shared" si="25"/>
        <v>47.84589488337686</v>
      </c>
      <c r="U20" s="7">
        <f t="shared" si="1"/>
        <v>0.993589260933658</v>
      </c>
      <c r="V20" s="7">
        <f t="shared" si="2"/>
        <v>0.9872196194426927</v>
      </c>
      <c r="X20" s="7">
        <f t="shared" si="3"/>
        <v>-7.390251291149532</v>
      </c>
      <c r="Y20" s="7">
        <f t="shared" si="4"/>
        <v>79.43313760367671</v>
      </c>
      <c r="Z20" s="7">
        <f t="shared" si="5"/>
        <v>99.90837325734087</v>
      </c>
      <c r="AA20" s="7">
        <f t="shared" si="6"/>
        <v>80.90835608242602</v>
      </c>
      <c r="AC20" s="7">
        <f t="shared" si="7"/>
        <v>-5.060568226868851</v>
      </c>
      <c r="AD20" s="7">
        <f t="shared" si="0"/>
        <v>47.84589488337686</v>
      </c>
      <c r="AE20" s="7">
        <f t="shared" si="8"/>
        <v>233.47926116376206</v>
      </c>
      <c r="AF20" s="7">
        <f t="shared" si="9"/>
        <v>106.92052225002602</v>
      </c>
      <c r="AG20" s="7">
        <f t="shared" si="10"/>
        <v>83.2380391467067</v>
      </c>
      <c r="AH20" s="7">
        <f t="shared" si="11"/>
      </c>
      <c r="AI20" s="7">
        <f t="shared" si="12"/>
      </c>
      <c r="AK20" s="7">
        <f t="shared" si="13"/>
        <v>0.2416686164869051</v>
      </c>
      <c r="AL20" s="7">
        <f t="shared" si="14"/>
        <v>-12.582707549491873</v>
      </c>
      <c r="AM20" s="7">
        <f t="shared" si="15"/>
        <v>91.80096640894871</v>
      </c>
      <c r="AN20" s="7">
        <f t="shared" si="16"/>
        <v>40.59818876092544</v>
      </c>
      <c r="AO20" s="7">
        <f t="shared" si="17"/>
        <v>83.2380391467067</v>
      </c>
      <c r="AQ20" s="7">
        <f t="shared" si="18"/>
        <v>0.4258239689715679</v>
      </c>
      <c r="AR20" s="7">
        <f t="shared" si="19"/>
        <v>-10.0416853467551</v>
      </c>
      <c r="AS20" s="7">
        <f t="shared" si="20"/>
        <v>91.8009664089487</v>
      </c>
      <c r="AT20" s="7">
        <f t="shared" si="21"/>
        <v>22.61540857496533</v>
      </c>
      <c r="AU20" s="7">
        <f t="shared" si="22"/>
        <v>78.25692202682045</v>
      </c>
      <c r="AW20" s="7">
        <f t="shared" si="26"/>
        <v>0.13292100694444442</v>
      </c>
      <c r="AX20" s="7">
        <f t="shared" si="23"/>
        <v>0.017667994087125043</v>
      </c>
      <c r="AY20" s="7">
        <f t="shared" si="24"/>
        <v>-36.63108006887808</v>
      </c>
      <c r="AZ20" s="11">
        <f>AZ19+0.5</f>
        <v>17.5</v>
      </c>
      <c r="BB20" s="11">
        <v>17</v>
      </c>
      <c r="BC20" s="11">
        <v>0.82</v>
      </c>
    </row>
    <row r="21" spans="17:55" ht="12.75">
      <c r="Q21" s="7" t="s">
        <v>89</v>
      </c>
      <c r="R21" s="7">
        <f>Sd*Xmax/1000</f>
        <v>5.6999999999999996E-05</v>
      </c>
      <c r="T21" s="7">
        <f t="shared" si="25"/>
        <v>53.10894332054831</v>
      </c>
      <c r="U21" s="7">
        <f t="shared" si="1"/>
        <v>1.2242013283963602</v>
      </c>
      <c r="V21" s="7">
        <f t="shared" si="2"/>
        <v>1.498668892447413</v>
      </c>
      <c r="X21" s="7">
        <f t="shared" si="3"/>
        <v>-4.8326354439833406</v>
      </c>
      <c r="Y21" s="7">
        <f t="shared" si="4"/>
        <v>317.1433876908996</v>
      </c>
      <c r="Z21" s="7">
        <f t="shared" si="5"/>
        <v>108.478528539259</v>
      </c>
      <c r="AA21" s="7">
        <f t="shared" si="6"/>
        <v>83.46597192959221</v>
      </c>
      <c r="AC21" s="7">
        <f t="shared" si="7"/>
        <v>-3.242111431965229</v>
      </c>
      <c r="AD21" s="7">
        <f t="shared" si="0"/>
        <v>53.10894332054831</v>
      </c>
      <c r="AE21" s="7">
        <f t="shared" si="8"/>
        <v>231.36759495644182</v>
      </c>
      <c r="AF21" s="7">
        <f t="shared" si="9"/>
        <v>108.6995212631737</v>
      </c>
      <c r="AG21" s="7">
        <f t="shared" si="10"/>
        <v>85.05649594161032</v>
      </c>
      <c r="AH21" s="7">
        <f t="shared" si="11"/>
        <v>108.6995212631737</v>
      </c>
      <c r="AI21" s="7">
        <f t="shared" si="12"/>
        <v>23.64302532156337</v>
      </c>
      <c r="AK21" s="7">
        <f t="shared" si="13"/>
        <v>0.29775990237351585</v>
      </c>
      <c r="AL21" s="7">
        <f t="shared" si="14"/>
        <v>-10.892319834176558</v>
      </c>
      <c r="AM21" s="7">
        <f t="shared" si="15"/>
        <v>93.61388556041501</v>
      </c>
      <c r="AN21" s="7">
        <f t="shared" si="16"/>
        <v>41.75993385508306</v>
      </c>
      <c r="AO21" s="7">
        <f t="shared" si="17"/>
        <v>85.05649594161032</v>
      </c>
      <c r="AQ21" s="7">
        <f t="shared" si="18"/>
        <v>0.5246577121698688</v>
      </c>
      <c r="AR21" s="7">
        <f t="shared" si="19"/>
        <v>-8.773537491281925</v>
      </c>
      <c r="AS21" s="7">
        <f t="shared" si="20"/>
        <v>93.61388556041499</v>
      </c>
      <c r="AT21" s="7">
        <f t="shared" si="21"/>
        <v>25.63784796578694</v>
      </c>
      <c r="AU21" s="7">
        <f t="shared" si="22"/>
        <v>79.52506988229362</v>
      </c>
      <c r="AW21" s="7">
        <f t="shared" si="26"/>
        <v>0.140625</v>
      </c>
      <c r="AX21" s="7">
        <f t="shared" si="23"/>
        <v>0.019775390625</v>
      </c>
      <c r="AY21" s="7">
        <f t="shared" si="24"/>
        <v>-35.690194753548525</v>
      </c>
      <c r="AZ21" s="7">
        <v>18</v>
      </c>
      <c r="BB21" s="11">
        <v>18</v>
      </c>
      <c r="BC21" s="11">
        <v>0.83</v>
      </c>
    </row>
    <row r="22" spans="3:55" ht="12.75">
      <c r="C22" s="13"/>
      <c r="Q22" s="7" t="s">
        <v>90</v>
      </c>
      <c r="R22" s="7">
        <f>9.64*10^(-10)*Fs^3*Vas/Qes</f>
        <v>0.004264427520000001</v>
      </c>
      <c r="T22" s="7">
        <f t="shared" si="25"/>
        <v>58.95092708580863</v>
      </c>
      <c r="U22" s="7">
        <f aca="true" t="shared" si="27" ref="U22:U37">(F/Fs)^2</f>
        <v>1.5083384567171552</v>
      </c>
      <c r="V22" s="7">
        <f aca="true" t="shared" si="28" ref="V22:V37">_Fn2^2</f>
        <v>2.2750849000118896</v>
      </c>
      <c r="X22" s="7">
        <f aca="true" t="shared" si="29" ref="X22:X37">10*LOG(_Fn4^2/((_Fn4-_C*_Fn2+_A)^2+_Fn2*(_D*_Fn2-_B)^2))</f>
        <v>-2.821145337431527</v>
      </c>
      <c r="Y22" s="7">
        <f aca="true" t="shared" si="30" ref="Y22:Y37">(PK1/n0)*((_Fn4-_C*_Fn2+_A)^2+_Fn2*(_D*_Fn2-_B)^2)/(_Fn4-_E*_Fn2+_A^2)</f>
        <v>334.02035604085296</v>
      </c>
      <c r="Z22" s="7">
        <f aca="true" t="shared" si="31" ref="Z22:Z37">PK2+10*LOG(_Fn4^2/(_Fn4-_E*_Fn2+_A^2))</f>
        <v>110.71519138230842</v>
      </c>
      <c r="AA22" s="7">
        <f aca="true" t="shared" si="32" ref="AA22:AA37">PeakSPL+dBmag</f>
        <v>85.47746203614402</v>
      </c>
      <c r="AC22" s="7">
        <f aca="true" t="shared" si="33" ref="AC22:AC37">10*LOG(_Fn4^2/((_Fn4-_Cm*_Fn2+_Am)^2+_Fn2*(_Dm*_Fn2-_Bm)^2))</f>
        <v>-2.1339542874795994</v>
      </c>
      <c r="AD22" s="7">
        <f t="shared" si="0"/>
        <v>58.95092708580863</v>
      </c>
      <c r="AE22" s="7">
        <f aca="true" t="shared" si="34" ref="AE22:AE37">(PK1/n0)*((_Fn4-_Cm*_Fn2+_Am)^2+_Fn2*(_Dm*_Fn2-_Bm)^2)/(_Fn4-_Em*_Fn2+_Am^2)</f>
        <v>90.31001053437181</v>
      </c>
      <c r="AF22" s="7">
        <f aca="true" t="shared" si="35" ref="AF22:AF37">PK2+10*LOG(_Fn4^2/(_Fn4-_Em*_Fn2+_Am^2))</f>
        <v>105.72201201546315</v>
      </c>
      <c r="AG22" s="7">
        <f aca="true" t="shared" si="36" ref="AG22:AG37">PeakSPL+dBmagm</f>
        <v>86.16465308609595</v>
      </c>
      <c r="AH22" s="7">
        <f aca="true" t="shared" si="37" ref="AH22:AH37">IF(F&gt;=Fbmod,SPLMaxm,"")</f>
        <v>105.72201201546315</v>
      </c>
      <c r="AI22" s="7">
        <f aca="true" t="shared" si="38" ref="AI22:AI37">IF(SPLMaxmMod&lt;&gt;"",SPLMaxmMod-SPLTherm,"")</f>
        <v>19.557358929367197</v>
      </c>
      <c r="AK22" s="7">
        <f aca="true" t="shared" si="39" ref="AK22:AK37">(F/Fbcl)^2</f>
        <v>0.3668699757144089</v>
      </c>
      <c r="AL22" s="7">
        <f aca="true" t="shared" si="40" ref="AL22:AL37">10*LOG(Frc^2/((Frc-1)^2+Frc/Qtc^2))</f>
        <v>-9.259008158568689</v>
      </c>
      <c r="AM22" s="7">
        <f aca="true" t="shared" si="41" ref="AM22:AM37">_CK2+40*LOG(F/Fbcl)</f>
        <v>95.4268047118813</v>
      </c>
      <c r="AN22" s="7">
        <f aca="true" t="shared" si="42" ref="AN22:AN37">_CK1*((Frc-1)^2+Frc/Qtc^2)/n0</f>
        <v>43.52317301723556</v>
      </c>
      <c r="AO22" s="7">
        <f aca="true" t="shared" si="43" ref="AO22:AO37">dBmagm+PeakSPL</f>
        <v>86.16465308609595</v>
      </c>
      <c r="AQ22" s="7">
        <f aca="true" t="shared" si="44" ref="AQ22:AQ37">(F/Fbclmod)^2</f>
        <v>0.6464307671644954</v>
      </c>
      <c r="AR22" s="7">
        <f aca="true" t="shared" si="45" ref="AR22:AR37">10*LOG(Frcmod^2/((Frcmod-1)^2+Frcmod/Qtcmod^2))</f>
        <v>-7.598438304490976</v>
      </c>
      <c r="AS22" s="7">
        <f aca="true" t="shared" si="46" ref="AS22:AS37">_CK2mod+40*LOG(F/Fbclmod)</f>
        <v>95.42680471188129</v>
      </c>
      <c r="AT22" s="7">
        <f aca="true" t="shared" si="47" ref="AT22:AT37">_CK1mod*((Frcmod-1)^2+Frcmod/Qtcmod^2)/n0</f>
        <v>29.693648570859178</v>
      </c>
      <c r="AU22" s="7">
        <f aca="true" t="shared" si="48" ref="AU22:AU37">dBMagmcmod+PeakSPL</f>
        <v>80.70016906908458</v>
      </c>
      <c r="AW22" s="7">
        <f t="shared" si="26"/>
        <v>0.14854600694444445</v>
      </c>
      <c r="AX22" s="7">
        <f aca="true" t="shared" si="49" ref="AX22:AX37">_Fn2cc^2</f>
        <v>0.022065916179138938</v>
      </c>
      <c r="AY22" s="7">
        <f aca="true" t="shared" si="50" ref="AY22:AY37">10*LOG(_Fn4cc^2/((_Fn4cc-_Cm*_Fn2cc+_Am)^2+_Fn2cc*(_Dm*_Fn2cc-_Bm)^2))</f>
        <v>-34.77611701505837</v>
      </c>
      <c r="AZ22" s="11">
        <f>AZ21+0.5</f>
        <v>18.5</v>
      </c>
      <c r="BB22" s="11">
        <v>19</v>
      </c>
      <c r="BC22" s="11">
        <v>0.84</v>
      </c>
    </row>
    <row r="23" spans="3:55" ht="12.75">
      <c r="C23" s="13"/>
      <c r="O23" s="13"/>
      <c r="T23" s="7">
        <f aca="true" t="shared" si="51" ref="T23:T38">T22*Factor</f>
        <v>65.43552906524758</v>
      </c>
      <c r="U23" s="7">
        <f t="shared" si="27"/>
        <v>1.8584238125212071</v>
      </c>
      <c r="V23" s="7">
        <f t="shared" si="28"/>
        <v>3.4537390669458587</v>
      </c>
      <c r="X23" s="7">
        <f t="shared" si="29"/>
        <v>-1.466441855614814</v>
      </c>
      <c r="Y23" s="7">
        <f t="shared" si="30"/>
        <v>121.56394358901673</v>
      </c>
      <c r="Z23" s="7">
        <f t="shared" si="31"/>
        <v>107.6802133214087</v>
      </c>
      <c r="AA23" s="7">
        <f t="shared" si="32"/>
        <v>86.83216551796073</v>
      </c>
      <c r="AC23" s="7">
        <f t="shared" si="33"/>
        <v>-1.5445510778963767</v>
      </c>
      <c r="AD23" s="7">
        <f t="shared" si="0"/>
        <v>65.43552906524758</v>
      </c>
      <c r="AE23" s="7">
        <f t="shared" si="34"/>
        <v>60.42252109478799</v>
      </c>
      <c r="AF23" s="7">
        <f t="shared" si="35"/>
        <v>104.56604471569602</v>
      </c>
      <c r="AG23" s="7">
        <f t="shared" si="36"/>
        <v>86.75405629567918</v>
      </c>
      <c r="AH23" s="7">
        <f t="shared" si="37"/>
        <v>104.56604471569602</v>
      </c>
      <c r="AI23" s="7">
        <f t="shared" si="38"/>
        <v>17.811988420016846</v>
      </c>
      <c r="AK23" s="7">
        <f t="shared" si="39"/>
        <v>0.45202049707772324</v>
      </c>
      <c r="AL23" s="7">
        <f t="shared" si="40"/>
        <v>-7.705250271831066</v>
      </c>
      <c r="AM23" s="7">
        <f t="shared" si="41"/>
        <v>97.2397238633476</v>
      </c>
      <c r="AN23" s="7">
        <f t="shared" si="42"/>
        <v>46.19943625672655</v>
      </c>
      <c r="AO23" s="7">
        <f t="shared" si="43"/>
        <v>86.75405629567918</v>
      </c>
      <c r="AQ23" s="7">
        <f t="shared" si="44"/>
        <v>0.7964673482233748</v>
      </c>
      <c r="AR23" s="7">
        <f t="shared" si="45"/>
        <v>-6.523640979426552</v>
      </c>
      <c r="AS23" s="7">
        <f t="shared" si="46"/>
        <v>97.23972386334759</v>
      </c>
      <c r="AT23" s="7">
        <f t="shared" si="47"/>
        <v>35.19457676417155</v>
      </c>
      <c r="AU23" s="7">
        <f t="shared" si="48"/>
        <v>81.774966394149</v>
      </c>
      <c r="AW23" s="7">
        <f aca="true" t="shared" si="52" ref="AW23:AW38">(Fcc/Fs)^2</f>
        <v>0.15668402777777776</v>
      </c>
      <c r="AX23" s="7">
        <f t="shared" si="49"/>
        <v>0.024549884560667434</v>
      </c>
      <c r="AY23" s="7">
        <f t="shared" si="50"/>
        <v>-33.887371044754055</v>
      </c>
      <c r="AZ23" s="7">
        <v>19</v>
      </c>
      <c r="BB23" s="11">
        <v>20</v>
      </c>
      <c r="BC23" s="11">
        <v>0.85</v>
      </c>
    </row>
    <row r="24" spans="2:55" ht="12.75">
      <c r="B24" s="13"/>
      <c r="C24" s="13"/>
      <c r="O24" s="13"/>
      <c r="Q24" s="7" t="s">
        <v>91</v>
      </c>
      <c r="R24" s="7">
        <f>(4*PI()^3*1.18/345)*Fs^4*(Vd*1.15)^2</f>
        <v>0.00967571044491487</v>
      </c>
      <c r="T24" s="7">
        <f t="shared" si="51"/>
        <v>72.63343726242482</v>
      </c>
      <c r="U24" s="7">
        <f t="shared" si="27"/>
        <v>2.28976397940738</v>
      </c>
      <c r="V24" s="7">
        <f t="shared" si="28"/>
        <v>5.24301908139152</v>
      </c>
      <c r="X24" s="7">
        <f t="shared" si="29"/>
        <v>-0.6972187651843491</v>
      </c>
      <c r="Y24" s="7">
        <f t="shared" si="30"/>
        <v>77.03341374584076</v>
      </c>
      <c r="Z24" s="7">
        <f t="shared" si="31"/>
        <v>106.46818004943742</v>
      </c>
      <c r="AA24" s="7">
        <f t="shared" si="32"/>
        <v>87.6013886083912</v>
      </c>
      <c r="AC24" s="7">
        <f t="shared" si="33"/>
        <v>-1.2416826294995422</v>
      </c>
      <c r="AD24" s="7">
        <f t="shared" si="0"/>
        <v>72.63343726242482</v>
      </c>
      <c r="AE24" s="7">
        <f t="shared" si="34"/>
        <v>55.26943731525853</v>
      </c>
      <c r="AF24" s="7">
        <f t="shared" si="35"/>
        <v>104.48177517565054</v>
      </c>
      <c r="AG24" s="7">
        <f t="shared" si="36"/>
        <v>87.05692474407601</v>
      </c>
      <c r="AH24" s="7">
        <f t="shared" si="37"/>
        <v>104.48177517565054</v>
      </c>
      <c r="AI24" s="7">
        <f t="shared" si="38"/>
        <v>17.424850431574527</v>
      </c>
      <c r="AK24" s="7">
        <f t="shared" si="39"/>
        <v>0.5569344544494628</v>
      </c>
      <c r="AL24" s="7">
        <f t="shared" si="40"/>
        <v>-6.2583298772377995</v>
      </c>
      <c r="AM24" s="7">
        <f t="shared" si="41"/>
        <v>99.0526430148139</v>
      </c>
      <c r="AN24" s="7">
        <f t="shared" si="42"/>
        <v>50.26162803951519</v>
      </c>
      <c r="AO24" s="7">
        <f t="shared" si="43"/>
        <v>87.05692474407601</v>
      </c>
      <c r="AQ24" s="7">
        <f t="shared" si="44"/>
        <v>0.9813274197460202</v>
      </c>
      <c r="AR24" s="7">
        <f t="shared" si="45"/>
        <v>-5.554008572585692</v>
      </c>
      <c r="AS24" s="7">
        <f t="shared" si="46"/>
        <v>99.05264301481388</v>
      </c>
      <c r="AT24" s="7">
        <f t="shared" si="47"/>
        <v>42.737038236563514</v>
      </c>
      <c r="AU24" s="7">
        <f t="shared" si="48"/>
        <v>82.74459880098986</v>
      </c>
      <c r="AW24" s="7">
        <f t="shared" si="52"/>
        <v>0.1650390625</v>
      </c>
      <c r="AX24" s="7">
        <f t="shared" si="49"/>
        <v>0.027237892150878906</v>
      </c>
      <c r="AY24" s="7">
        <f t="shared" si="50"/>
        <v>-33.022595707710835</v>
      </c>
      <c r="AZ24" s="11">
        <f>AZ23+0.5</f>
        <v>19.5</v>
      </c>
      <c r="BB24" s="11">
        <v>21</v>
      </c>
      <c r="BC24" s="11">
        <v>0.86</v>
      </c>
    </row>
    <row r="25" spans="2:55" ht="12.75">
      <c r="B25" s="13"/>
      <c r="C25" s="13"/>
      <c r="L25" s="31"/>
      <c r="N25" s="13"/>
      <c r="O25" s="13"/>
      <c r="Q25" s="7" t="s">
        <v>92</v>
      </c>
      <c r="R25" s="7">
        <f>112+10*LOG(PK1)</f>
        <v>91.85682863197769</v>
      </c>
      <c r="T25" s="7">
        <f t="shared" si="51"/>
        <v>80.62311536129155</v>
      </c>
      <c r="U25" s="7">
        <f t="shared" si="27"/>
        <v>2.821218199027833</v>
      </c>
      <c r="V25" s="7">
        <f t="shared" si="28"/>
        <v>7.959272126525849</v>
      </c>
      <c r="X25" s="7">
        <f t="shared" si="29"/>
        <v>-0.3227079891252741</v>
      </c>
      <c r="Y25" s="7">
        <f t="shared" si="30"/>
        <v>68.83626422251182</v>
      </c>
      <c r="Z25" s="7">
        <f t="shared" si="31"/>
        <v>106.35407231367648</v>
      </c>
      <c r="AA25" s="7">
        <f t="shared" si="32"/>
        <v>87.97589938445027</v>
      </c>
      <c r="AC25" s="7">
        <f t="shared" si="33"/>
        <v>-1.0684640370212666</v>
      </c>
      <c r="AD25" s="7">
        <f t="shared" si="0"/>
        <v>80.62311536129155</v>
      </c>
      <c r="AE25" s="7">
        <f t="shared" si="34"/>
        <v>59.74918899564239</v>
      </c>
      <c r="AF25" s="7">
        <f t="shared" si="35"/>
        <v>104.99346348428612</v>
      </c>
      <c r="AG25" s="7">
        <f t="shared" si="36"/>
        <v>87.23014333655428</v>
      </c>
      <c r="AH25" s="7">
        <f t="shared" si="37"/>
        <v>104.99346348428612</v>
      </c>
      <c r="AI25" s="7">
        <f t="shared" si="38"/>
        <v>17.763320147731847</v>
      </c>
      <c r="AK25" s="7">
        <f t="shared" si="39"/>
        <v>0.6861989413271833</v>
      </c>
      <c r="AL25" s="7">
        <f t="shared" si="40"/>
        <v>-4.947962997065275</v>
      </c>
      <c r="AM25" s="7">
        <f t="shared" si="41"/>
        <v>100.8655621662802</v>
      </c>
      <c r="AN25" s="7">
        <f t="shared" si="42"/>
        <v>56.42762597172815</v>
      </c>
      <c r="AO25" s="7">
        <f t="shared" si="43"/>
        <v>87.23014333655428</v>
      </c>
      <c r="AQ25" s="7">
        <f t="shared" si="44"/>
        <v>1.2090935138690717</v>
      </c>
      <c r="AR25" s="7">
        <f t="shared" si="45"/>
        <v>-4.691433001648679</v>
      </c>
      <c r="AS25" s="7">
        <f t="shared" si="46"/>
        <v>100.86556216628018</v>
      </c>
      <c r="AT25" s="7">
        <f t="shared" si="47"/>
        <v>53.19107645333672</v>
      </c>
      <c r="AU25" s="7">
        <f t="shared" si="48"/>
        <v>83.60717437192687</v>
      </c>
      <c r="AW25" s="7">
        <f t="shared" si="52"/>
        <v>0.17361111111111113</v>
      </c>
      <c r="AX25" s="7">
        <f t="shared" si="49"/>
        <v>0.030140817901234577</v>
      </c>
      <c r="AY25" s="7">
        <f t="shared" si="50"/>
        <v>-32.18053342031744</v>
      </c>
      <c r="AZ25" s="7">
        <v>20</v>
      </c>
      <c r="BB25" s="11">
        <v>22</v>
      </c>
      <c r="BC25" s="11">
        <v>0.87</v>
      </c>
    </row>
    <row r="26" spans="2:55" ht="12.75">
      <c r="B26" s="13"/>
      <c r="C26" s="13"/>
      <c r="N26" s="13"/>
      <c r="O26" s="13"/>
      <c r="T26" s="7">
        <f t="shared" si="51"/>
        <v>89.49165805103364</v>
      </c>
      <c r="U26" s="7">
        <f t="shared" si="27"/>
        <v>3.4760229430221936</v>
      </c>
      <c r="V26" s="7">
        <f t="shared" si="28"/>
        <v>12.082735500416673</v>
      </c>
      <c r="X26" s="7">
        <f t="shared" si="29"/>
        <v>-0.16266803463175167</v>
      </c>
      <c r="Y26" s="7">
        <f t="shared" si="30"/>
        <v>74.34130316143042</v>
      </c>
      <c r="Z26" s="7">
        <f t="shared" si="31"/>
        <v>106.84824103659975</v>
      </c>
      <c r="AA26" s="7">
        <f t="shared" si="32"/>
        <v>88.1359393389438</v>
      </c>
      <c r="AC26" s="7">
        <f t="shared" si="33"/>
        <v>-0.9459718974738807</v>
      </c>
      <c r="AD26" s="7">
        <f t="shared" si="0"/>
        <v>89.49165805103364</v>
      </c>
      <c r="AE26" s="7">
        <f t="shared" si="34"/>
        <v>71.08842604162572</v>
      </c>
      <c r="AF26" s="7">
        <f t="shared" si="35"/>
        <v>105.87062446294671</v>
      </c>
      <c r="AG26" s="7">
        <f t="shared" si="36"/>
        <v>87.35263547610167</v>
      </c>
      <c r="AH26" s="7">
        <f t="shared" si="37"/>
        <v>105.87062446294671</v>
      </c>
      <c r="AI26" s="7">
        <f t="shared" si="38"/>
        <v>18.51798898684504</v>
      </c>
      <c r="AK26" s="7">
        <f t="shared" si="39"/>
        <v>0.8454657156092226</v>
      </c>
      <c r="AL26" s="7">
        <f t="shared" si="40"/>
        <v>-3.801539316422736</v>
      </c>
      <c r="AM26" s="7">
        <f t="shared" si="41"/>
        <v>102.6784813177465</v>
      </c>
      <c r="AN26" s="7">
        <f t="shared" si="42"/>
        <v>65.78718840882472</v>
      </c>
      <c r="AO26" s="7">
        <f t="shared" si="43"/>
        <v>87.35263547610167</v>
      </c>
      <c r="AQ26" s="7">
        <f t="shared" si="44"/>
        <v>1.4897241184380836</v>
      </c>
      <c r="AR26" s="7">
        <f t="shared" si="45"/>
        <v>-3.934596057797897</v>
      </c>
      <c r="AS26" s="7">
        <f t="shared" si="46"/>
        <v>102.67848131774649</v>
      </c>
      <c r="AT26" s="7">
        <f t="shared" si="47"/>
        <v>67.83393332504002</v>
      </c>
      <c r="AU26" s="7">
        <f t="shared" si="48"/>
        <v>84.36401131577765</v>
      </c>
      <c r="AW26" s="7">
        <f t="shared" si="52"/>
        <v>0.1824001736111111</v>
      </c>
      <c r="AX26" s="7">
        <f t="shared" si="49"/>
        <v>0.03326982333336347</v>
      </c>
      <c r="AY26" s="7">
        <f t="shared" si="50"/>
        <v>-31.36002042306044</v>
      </c>
      <c r="AZ26" s="11">
        <f>AZ25+0.5</f>
        <v>20.5</v>
      </c>
      <c r="BB26" s="11">
        <v>23</v>
      </c>
      <c r="BC26" s="11">
        <v>0.88</v>
      </c>
    </row>
    <row r="27" spans="2:55" ht="12.75">
      <c r="B27" s="13"/>
      <c r="C27" s="13"/>
      <c r="N27" s="13"/>
      <c r="O27" s="13"/>
      <c r="Q27" s="7" t="s">
        <v>93</v>
      </c>
      <c r="R27" s="7">
        <f>IF(Qtc&gt;(1/2)^0.5,Qtc^2/(Qtc^2-0.25)^0.5,1)</f>
        <v>1</v>
      </c>
      <c r="T27" s="7">
        <f t="shared" si="51"/>
        <v>99.33574043664734</v>
      </c>
      <c r="U27" s="7">
        <f t="shared" si="27"/>
        <v>4.282807868097645</v>
      </c>
      <c r="V27" s="7">
        <f t="shared" si="28"/>
        <v>18.3424432350391</v>
      </c>
      <c r="X27" s="7">
        <f t="shared" si="29"/>
        <v>-0.10239388246135389</v>
      </c>
      <c r="Y27" s="7">
        <f t="shared" si="30"/>
        <v>89.49481927202704</v>
      </c>
      <c r="Z27" s="7">
        <f t="shared" si="31"/>
        <v>107.71419244464278</v>
      </c>
      <c r="AA27" s="7">
        <f t="shared" si="32"/>
        <v>88.1962134911142</v>
      </c>
      <c r="AC27" s="7">
        <f t="shared" si="33"/>
        <v>-0.8413987843337685</v>
      </c>
      <c r="AD27" s="7">
        <f t="shared" si="0"/>
        <v>99.33574043664734</v>
      </c>
      <c r="AE27" s="7">
        <f t="shared" si="34"/>
        <v>89.78030463367558</v>
      </c>
      <c r="AF27" s="7">
        <f t="shared" si="35"/>
        <v>106.98901933597517</v>
      </c>
      <c r="AG27" s="7">
        <f t="shared" si="36"/>
        <v>87.45720858924179</v>
      </c>
      <c r="AH27" s="7">
        <f t="shared" si="37"/>
        <v>106.98901933597517</v>
      </c>
      <c r="AI27" s="7">
        <f t="shared" si="38"/>
        <v>19.531810746733385</v>
      </c>
      <c r="AK27" s="7">
        <f t="shared" si="39"/>
        <v>1.0416983082021232</v>
      </c>
      <c r="AL27" s="7">
        <f t="shared" si="40"/>
        <v>-2.8378140397770677</v>
      </c>
      <c r="AM27" s="7">
        <f t="shared" si="41"/>
        <v>104.49140046921279</v>
      </c>
      <c r="AN27" s="7">
        <f t="shared" si="42"/>
        <v>79.99460781286943</v>
      </c>
      <c r="AO27" s="7">
        <f t="shared" si="43"/>
        <v>87.45720858924179</v>
      </c>
      <c r="AQ27" s="7">
        <f t="shared" si="44"/>
        <v>1.8354890863275628</v>
      </c>
      <c r="AR27" s="7">
        <f t="shared" si="45"/>
        <v>-3.2791366902891053</v>
      </c>
      <c r="AS27" s="7">
        <f t="shared" si="46"/>
        <v>104.49140046921278</v>
      </c>
      <c r="AT27" s="7">
        <f t="shared" si="47"/>
        <v>88.55089980196365</v>
      </c>
      <c r="AU27" s="7">
        <f t="shared" si="48"/>
        <v>85.01947068328644</v>
      </c>
      <c r="AW27" s="7">
        <f t="shared" si="52"/>
        <v>0.19140625</v>
      </c>
      <c r="AX27" s="7">
        <f t="shared" si="49"/>
        <v>0.0366363525390625</v>
      </c>
      <c r="AY27" s="7">
        <f t="shared" si="50"/>
        <v>-30.559978248025963</v>
      </c>
      <c r="AZ27" s="7">
        <v>21</v>
      </c>
      <c r="BB27" s="11">
        <v>24</v>
      </c>
      <c r="BC27" s="11">
        <v>0.89</v>
      </c>
    </row>
    <row r="28" spans="2:55" ht="12.75">
      <c r="B28" s="13"/>
      <c r="C28" s="13"/>
      <c r="N28" s="13"/>
      <c r="O28" s="13"/>
      <c r="Q28" s="7" t="s">
        <v>94</v>
      </c>
      <c r="R28" s="7">
        <f>(4*PI()^3*1.18/345)*Fbcl^4*(Vd*1.15)^2</f>
        <v>0.16355210167132841</v>
      </c>
      <c r="T28" s="7">
        <f t="shared" si="51"/>
        <v>110.26267188467855</v>
      </c>
      <c r="U28" s="7">
        <f t="shared" si="27"/>
        <v>5.276847574283108</v>
      </c>
      <c r="V28" s="7">
        <f t="shared" si="28"/>
        <v>27.845120322217525</v>
      </c>
      <c r="X28" s="7">
        <f t="shared" si="29"/>
        <v>-0.08271938956803711</v>
      </c>
      <c r="Y28" s="7">
        <f t="shared" si="30"/>
        <v>115.05565422790812</v>
      </c>
      <c r="Z28" s="7">
        <f t="shared" si="31"/>
        <v>108.82496764644358</v>
      </c>
      <c r="AA28" s="7">
        <f t="shared" si="32"/>
        <v>88.21588798400751</v>
      </c>
      <c r="AC28" s="7">
        <f t="shared" si="33"/>
        <v>-0.7436954781582459</v>
      </c>
      <c r="AD28" s="7">
        <f t="shared" si="0"/>
        <v>110.26267188467855</v>
      </c>
      <c r="AE28" s="7">
        <f t="shared" si="34"/>
        <v>118.03605366045126</v>
      </c>
      <c r="AF28" s="7">
        <f t="shared" si="35"/>
        <v>108.2750587069717</v>
      </c>
      <c r="AG28" s="7">
        <f t="shared" si="36"/>
        <v>87.5549118954173</v>
      </c>
      <c r="AH28" s="7">
        <f t="shared" si="37"/>
        <v>108.2750587069717</v>
      </c>
      <c r="AI28" s="7">
        <f t="shared" si="38"/>
        <v>20.7201468115544</v>
      </c>
      <c r="AK28" s="7">
        <f t="shared" si="39"/>
        <v>1.2834764855358363</v>
      </c>
      <c r="AL28" s="7">
        <f t="shared" si="40"/>
        <v>-2.0615647269411186</v>
      </c>
      <c r="AM28" s="7">
        <f t="shared" si="41"/>
        <v>106.3043196206791</v>
      </c>
      <c r="AN28" s="7">
        <f t="shared" si="42"/>
        <v>101.5611704761282</v>
      </c>
      <c r="AO28" s="7">
        <f t="shared" si="43"/>
        <v>87.5549118954173</v>
      </c>
      <c r="AQ28" s="7">
        <f t="shared" si="44"/>
        <v>2.2615061032641903</v>
      </c>
      <c r="AR28" s="7">
        <f t="shared" si="45"/>
        <v>-2.7181793154904095</v>
      </c>
      <c r="AS28" s="7">
        <f t="shared" si="46"/>
        <v>106.30431962067908</v>
      </c>
      <c r="AT28" s="7">
        <f t="shared" si="47"/>
        <v>118.13787541371647</v>
      </c>
      <c r="AU28" s="7">
        <f t="shared" si="48"/>
        <v>85.58042805808515</v>
      </c>
      <c r="AW28" s="7">
        <f t="shared" si="52"/>
        <v>0.2006293402777778</v>
      </c>
      <c r="AX28" s="7">
        <f t="shared" si="49"/>
        <v>0.04025213218029635</v>
      </c>
      <c r="AY28" s="7">
        <f t="shared" si="50"/>
        <v>-29.77940621385896</v>
      </c>
      <c r="AZ28" s="11">
        <f>AZ27+0.5</f>
        <v>21.5</v>
      </c>
      <c r="BB28" s="11">
        <v>25</v>
      </c>
      <c r="BC28" s="11">
        <v>0.9</v>
      </c>
    </row>
    <row r="29" spans="2:55" ht="12.75">
      <c r="B29" s="13"/>
      <c r="C29" s="13"/>
      <c r="N29" s="13"/>
      <c r="O29" s="13"/>
      <c r="Q29" s="7" t="s">
        <v>95</v>
      </c>
      <c r="R29" s="7">
        <f>112+10*LOG(_CK1)</f>
        <v>104.13656129252173</v>
      </c>
      <c r="T29" s="7">
        <f t="shared" si="51"/>
        <v>122.3915657919932</v>
      </c>
      <c r="U29" s="7">
        <f t="shared" si="27"/>
        <v>6.501603896274218</v>
      </c>
      <c r="V29" s="7">
        <f t="shared" si="28"/>
        <v>42.27085322404809</v>
      </c>
      <c r="X29" s="7">
        <f t="shared" si="29"/>
        <v>-0.07683103361677364</v>
      </c>
      <c r="Y29" s="7">
        <f t="shared" si="30"/>
        <v>154.30588164728243</v>
      </c>
      <c r="Z29" s="7">
        <f t="shared" si="31"/>
        <v>110.10560114292832</v>
      </c>
      <c r="AA29" s="7">
        <f t="shared" si="32"/>
        <v>88.22177633995878</v>
      </c>
      <c r="AC29" s="7">
        <f t="shared" si="33"/>
        <v>-0.6506882638881815</v>
      </c>
      <c r="AD29" s="7">
        <f t="shared" si="0"/>
        <v>122.3915657919932</v>
      </c>
      <c r="AE29" s="7">
        <f t="shared" si="34"/>
        <v>159.7364312544113</v>
      </c>
      <c r="AF29" s="7">
        <f t="shared" si="35"/>
        <v>109.68195888399421</v>
      </c>
      <c r="AG29" s="7">
        <f t="shared" si="36"/>
        <v>87.64791910968736</v>
      </c>
      <c r="AH29" s="7">
        <f t="shared" si="37"/>
        <v>109.68195888399421</v>
      </c>
      <c r="AI29" s="7">
        <f t="shared" si="38"/>
        <v>22.034039774306848</v>
      </c>
      <c r="AK29" s="7">
        <f t="shared" si="39"/>
        <v>1.5813713778287042</v>
      </c>
      <c r="AL29" s="7">
        <f t="shared" si="40"/>
        <v>-1.4621005605219115</v>
      </c>
      <c r="AM29" s="7">
        <f t="shared" si="41"/>
        <v>108.1172387721454</v>
      </c>
      <c r="AN29" s="7">
        <f t="shared" si="42"/>
        <v>134.29912895605335</v>
      </c>
      <c r="AO29" s="7">
        <f t="shared" si="43"/>
        <v>87.64791910968736</v>
      </c>
      <c r="AQ29" s="7">
        <f t="shared" si="44"/>
        <v>2.7864016698318093</v>
      </c>
      <c r="AR29" s="7">
        <f t="shared" si="45"/>
        <v>-2.2430887293651707</v>
      </c>
      <c r="AS29" s="7">
        <f t="shared" si="46"/>
        <v>108.11723877214538</v>
      </c>
      <c r="AT29" s="7">
        <f t="shared" si="47"/>
        <v>160.75778468748123</v>
      </c>
      <c r="AU29" s="7">
        <f t="shared" si="48"/>
        <v>86.05551864421038</v>
      </c>
      <c r="AW29" s="7">
        <f t="shared" si="52"/>
        <v>0.21006944444444442</v>
      </c>
      <c r="AX29" s="7">
        <f t="shared" si="49"/>
        <v>0.04412917148919752</v>
      </c>
      <c r="AY29" s="7">
        <f t="shared" si="50"/>
        <v>-29.01737480801032</v>
      </c>
      <c r="AZ29" s="7">
        <v>22</v>
      </c>
      <c r="BB29" s="11">
        <v>26</v>
      </c>
      <c r="BC29" s="11">
        <v>0.91</v>
      </c>
    </row>
    <row r="30" spans="2:55" ht="12.75">
      <c r="B30" s="13"/>
      <c r="C30" s="13"/>
      <c r="N30" s="13"/>
      <c r="O30" s="13"/>
      <c r="T30" s="7">
        <f t="shared" si="51"/>
        <v>135.85463802911246</v>
      </c>
      <c r="U30" s="7">
        <f t="shared" si="27"/>
        <v>8.010626160599466</v>
      </c>
      <c r="V30" s="7">
        <f t="shared" si="28"/>
        <v>64.17013148488054</v>
      </c>
      <c r="X30" s="7">
        <f t="shared" si="29"/>
        <v>-0.07390090135355075</v>
      </c>
      <c r="Y30" s="7">
        <f t="shared" si="30"/>
        <v>213.00210311138946</v>
      </c>
      <c r="Z30" s="7">
        <f t="shared" si="31"/>
        <v>111.5085453876029</v>
      </c>
      <c r="AA30" s="7">
        <f t="shared" si="32"/>
        <v>88.224706472222</v>
      </c>
      <c r="AC30" s="7">
        <f t="shared" si="33"/>
        <v>-0.5631856395210082</v>
      </c>
      <c r="AD30" s="7">
        <f t="shared" si="0"/>
        <v>135.85463802911246</v>
      </c>
      <c r="AE30" s="7">
        <f t="shared" si="34"/>
        <v>220.9499556128764</v>
      </c>
      <c r="AF30" s="7">
        <f t="shared" si="35"/>
        <v>111.17836092057398</v>
      </c>
      <c r="AG30" s="7">
        <f t="shared" si="36"/>
        <v>87.73542173405454</v>
      </c>
      <c r="AH30" s="7">
        <f t="shared" si="37"/>
        <v>111.17836092057398</v>
      </c>
      <c r="AI30" s="7">
        <f t="shared" si="38"/>
        <v>23.44293918651944</v>
      </c>
      <c r="AK30" s="7">
        <f t="shared" si="39"/>
        <v>1.9484076746227466</v>
      </c>
      <c r="AL30" s="7">
        <f t="shared" si="40"/>
        <v>-1.0165257378136263</v>
      </c>
      <c r="AM30" s="7">
        <f t="shared" si="41"/>
        <v>109.93015792361169</v>
      </c>
      <c r="AN30" s="7">
        <f t="shared" si="42"/>
        <v>183.99568100590088</v>
      </c>
      <c r="AO30" s="7">
        <f t="shared" si="43"/>
        <v>87.73542173405454</v>
      </c>
      <c r="AQ30" s="7">
        <f t="shared" si="44"/>
        <v>3.433125497399773</v>
      </c>
      <c r="AR30" s="7">
        <f t="shared" si="45"/>
        <v>-1.844284134269604</v>
      </c>
      <c r="AS30" s="7">
        <f t="shared" si="46"/>
        <v>109.93015792361167</v>
      </c>
      <c r="AT30" s="7">
        <f t="shared" si="47"/>
        <v>222.62988831041855</v>
      </c>
      <c r="AU30" s="7">
        <f t="shared" si="48"/>
        <v>86.45432323930595</v>
      </c>
      <c r="AW30" s="7">
        <f t="shared" si="52"/>
        <v>0.2197265625</v>
      </c>
      <c r="AX30" s="7">
        <f t="shared" si="49"/>
        <v>0.048279762268066406</v>
      </c>
      <c r="AY30" s="7">
        <f t="shared" si="50"/>
        <v>-28.273019838297664</v>
      </c>
      <c r="AZ30" s="11">
        <f>AZ29+0.5</f>
        <v>22.5</v>
      </c>
      <c r="BB30" s="11">
        <v>27</v>
      </c>
      <c r="BC30" s="11">
        <v>0.92</v>
      </c>
    </row>
    <row r="31" spans="2:55" ht="12.75">
      <c r="B31" s="13"/>
      <c r="C31" s="13"/>
      <c r="N31" s="13"/>
      <c r="O31" s="13"/>
      <c r="Q31" s="7" t="s">
        <v>96</v>
      </c>
      <c r="R31" s="7">
        <f>IF(Qtcmod&gt;(1/2)^0.5,Qtcmod^2/(Qtcmod^2-0.25)^0.5,1)</f>
        <v>1</v>
      </c>
      <c r="T31" s="7">
        <f t="shared" si="51"/>
        <v>150.79864821231484</v>
      </c>
      <c r="U31" s="7">
        <f t="shared" si="27"/>
        <v>9.869892492474603</v>
      </c>
      <c r="V31" s="7">
        <f t="shared" si="28"/>
        <v>97.41477781300654</v>
      </c>
      <c r="X31" s="7">
        <f t="shared" si="29"/>
        <v>-0.07027366195394782</v>
      </c>
      <c r="Y31" s="7">
        <f t="shared" si="30"/>
        <v>300.16853470681895</v>
      </c>
      <c r="Z31" s="7">
        <f t="shared" si="31"/>
        <v>113.00198536353204</v>
      </c>
      <c r="AA31" s="7">
        <f t="shared" si="32"/>
        <v>88.2283337116216</v>
      </c>
      <c r="AC31" s="7">
        <f t="shared" si="33"/>
        <v>-0.4825328757333087</v>
      </c>
      <c r="AD31" s="7">
        <f t="shared" si="0"/>
        <v>150.79864821231484</v>
      </c>
      <c r="AE31" s="7">
        <f t="shared" si="34"/>
        <v>310.90724413744476</v>
      </c>
      <c r="AF31" s="7">
        <f t="shared" si="35"/>
        <v>112.74238291004855</v>
      </c>
      <c r="AG31" s="7">
        <f t="shared" si="36"/>
        <v>87.81607449784224</v>
      </c>
      <c r="AH31" s="7">
        <f t="shared" si="37"/>
        <v>112.74238291004855</v>
      </c>
      <c r="AI31" s="7">
        <f t="shared" si="38"/>
        <v>24.92630841220631</v>
      </c>
      <c r="AK31" s="7">
        <f t="shared" si="39"/>
        <v>2.4006330959026863</v>
      </c>
      <c r="AL31" s="7">
        <f t="shared" si="40"/>
        <v>-0.6958346039536747</v>
      </c>
      <c r="AM31" s="7">
        <f t="shared" si="41"/>
        <v>111.74307707507799</v>
      </c>
      <c r="AN31" s="7">
        <f t="shared" si="42"/>
        <v>259.4361139835217</v>
      </c>
      <c r="AO31" s="7">
        <f t="shared" si="43"/>
        <v>87.81607449784224</v>
      </c>
      <c r="AQ31" s="7">
        <f t="shared" si="44"/>
        <v>4.229953925346262</v>
      </c>
      <c r="AR31" s="7">
        <f t="shared" si="45"/>
        <v>-1.5119700557155278</v>
      </c>
      <c r="AS31" s="7">
        <f t="shared" si="46"/>
        <v>111.74307707507798</v>
      </c>
      <c r="AT31" s="7">
        <f t="shared" si="47"/>
        <v>313.0718183812434</v>
      </c>
      <c r="AU31" s="7">
        <f t="shared" si="48"/>
        <v>86.78663731786003</v>
      </c>
      <c r="AW31" s="7">
        <f t="shared" si="52"/>
        <v>0.22960069444444448</v>
      </c>
      <c r="AX31" s="7">
        <f t="shared" si="49"/>
        <v>0.05271647888937116</v>
      </c>
      <c r="AY31" s="7">
        <f t="shared" si="50"/>
        <v>-27.545537254069494</v>
      </c>
      <c r="AZ31" s="7">
        <v>23</v>
      </c>
      <c r="BB31" s="11">
        <v>28</v>
      </c>
      <c r="BC31" s="11">
        <v>0.93</v>
      </c>
    </row>
    <row r="32" spans="2:55" ht="12.75">
      <c r="B32" s="13"/>
      <c r="C32" s="13"/>
      <c r="N32" s="13"/>
      <c r="O32" s="13"/>
      <c r="Q32" s="7" t="s">
        <v>97</v>
      </c>
      <c r="R32" s="7">
        <f>(4*PI()^3*1.18/345)*Fbclmod^4*(Vd*1.15)^2</f>
        <v>0.05267886797786979</v>
      </c>
      <c r="T32" s="7">
        <f t="shared" si="51"/>
        <v>167.3864995156695</v>
      </c>
      <c r="U32" s="7">
        <f t="shared" si="27"/>
        <v>12.160694539977964</v>
      </c>
      <c r="V32" s="7">
        <f t="shared" si="28"/>
        <v>147.88249169464987</v>
      </c>
      <c r="X32" s="7">
        <f t="shared" si="29"/>
        <v>-0.06523125178037054</v>
      </c>
      <c r="Y32" s="7">
        <f t="shared" si="30"/>
        <v>429.5734808980099</v>
      </c>
      <c r="Z32" s="7">
        <f t="shared" si="31"/>
        <v>114.56375075152329</v>
      </c>
      <c r="AA32" s="7">
        <f t="shared" si="32"/>
        <v>88.23337612179517</v>
      </c>
      <c r="AC32" s="7">
        <f t="shared" si="33"/>
        <v>-0.40973223788306357</v>
      </c>
      <c r="AD32" s="7">
        <f t="shared" si="0"/>
        <v>167.3864995156695</v>
      </c>
      <c r="AE32" s="7">
        <f t="shared" si="34"/>
        <v>443.5473987348444</v>
      </c>
      <c r="AF32" s="7">
        <f t="shared" si="35"/>
        <v>114.3582755015879</v>
      </c>
      <c r="AG32" s="7">
        <f t="shared" si="36"/>
        <v>87.88887513569249</v>
      </c>
      <c r="AH32" s="7">
        <f t="shared" si="37"/>
        <v>114.3582755015879</v>
      </c>
      <c r="AI32" s="7">
        <f t="shared" si="38"/>
        <v>26.46940036589541</v>
      </c>
      <c r="AK32" s="7">
        <f t="shared" si="39"/>
        <v>2.9578200374617003</v>
      </c>
      <c r="AL32" s="7">
        <f t="shared" si="40"/>
        <v>-0.47082789130905833</v>
      </c>
      <c r="AM32" s="7">
        <f t="shared" si="41"/>
        <v>113.5559962265443</v>
      </c>
      <c r="AN32" s="7">
        <f t="shared" si="42"/>
        <v>373.95700632990156</v>
      </c>
      <c r="AO32" s="7">
        <f t="shared" si="43"/>
        <v>87.88887513569249</v>
      </c>
      <c r="AQ32" s="7">
        <f t="shared" si="44"/>
        <v>5.21172623141913</v>
      </c>
      <c r="AR32" s="7">
        <f t="shared" si="45"/>
        <v>-1.236700262840248</v>
      </c>
      <c r="AS32" s="7">
        <f t="shared" si="46"/>
        <v>113.55599622654428</v>
      </c>
      <c r="AT32" s="7">
        <f t="shared" si="47"/>
        <v>446.0760552961596</v>
      </c>
      <c r="AU32" s="7">
        <f t="shared" si="48"/>
        <v>87.0619071107353</v>
      </c>
      <c r="AW32" s="7">
        <f t="shared" si="52"/>
        <v>0.23969184027777776</v>
      </c>
      <c r="AX32" s="7">
        <f t="shared" si="49"/>
        <v>0.057452178295747725</v>
      </c>
      <c r="AY32" s="7">
        <f t="shared" si="50"/>
        <v>-26.834178552352228</v>
      </c>
      <c r="AZ32" s="11">
        <f>AZ31+0.5</f>
        <v>23.5</v>
      </c>
      <c r="BB32" s="11">
        <v>29</v>
      </c>
      <c r="BC32" s="11">
        <v>0.94</v>
      </c>
    </row>
    <row r="33" spans="2:55" ht="12.75">
      <c r="B33" s="13"/>
      <c r="C33" s="13"/>
      <c r="N33" s="13"/>
      <c r="O33" s="13"/>
      <c r="Q33" s="7" t="s">
        <v>98</v>
      </c>
      <c r="R33" s="7">
        <f>112+10*LOG(_CK1mod)</f>
        <v>99.21636433786958</v>
      </c>
      <c r="T33" s="7">
        <f t="shared" si="51"/>
        <v>185.79901446239316</v>
      </c>
      <c r="U33" s="7">
        <f t="shared" si="27"/>
        <v>14.98319174270685</v>
      </c>
      <c r="V33" s="7">
        <f t="shared" si="28"/>
        <v>224.49603479871874</v>
      </c>
      <c r="X33" s="7">
        <f t="shared" si="29"/>
        <v>-0.05909082960723054</v>
      </c>
      <c r="Y33" s="7">
        <f t="shared" si="30"/>
        <v>622.0688731389115</v>
      </c>
      <c r="Z33" s="7">
        <f t="shared" si="31"/>
        <v>116.17790125210303</v>
      </c>
      <c r="AA33" s="7">
        <f t="shared" si="32"/>
        <v>88.23951654396832</v>
      </c>
      <c r="AC33" s="7">
        <f t="shared" si="33"/>
        <v>-0.3452340057568001</v>
      </c>
      <c r="AD33" s="7">
        <f t="shared" si="0"/>
        <v>185.79901446239316</v>
      </c>
      <c r="AE33" s="7">
        <f t="shared" si="34"/>
        <v>639.889905858697</v>
      </c>
      <c r="AF33" s="7">
        <f t="shared" si="35"/>
        <v>116.01442596092325</v>
      </c>
      <c r="AG33" s="7">
        <f t="shared" si="36"/>
        <v>87.95337336781876</v>
      </c>
      <c r="AH33" s="7">
        <f t="shared" si="37"/>
        <v>116.01442596092325</v>
      </c>
      <c r="AI33" s="7">
        <f t="shared" si="38"/>
        <v>28.061052593104492</v>
      </c>
      <c r="AK33" s="7">
        <f t="shared" si="39"/>
        <v>3.644330068156562</v>
      </c>
      <c r="AL33" s="7">
        <f t="shared" si="40"/>
        <v>-0.3159447168891025</v>
      </c>
      <c r="AM33" s="7">
        <f t="shared" si="41"/>
        <v>115.36891537801058</v>
      </c>
      <c r="AN33" s="7">
        <f t="shared" si="42"/>
        <v>547.804092125042</v>
      </c>
      <c r="AO33" s="7">
        <f t="shared" si="43"/>
        <v>87.95337336781876</v>
      </c>
      <c r="AQ33" s="7">
        <f t="shared" si="44"/>
        <v>6.421367889731511</v>
      </c>
      <c r="AR33" s="7">
        <f t="shared" si="45"/>
        <v>-1.009751140735398</v>
      </c>
      <c r="AS33" s="7">
        <f t="shared" si="46"/>
        <v>115.36891537801057</v>
      </c>
      <c r="AT33" s="7">
        <f t="shared" si="47"/>
        <v>642.6964699341939</v>
      </c>
      <c r="AU33" s="7">
        <f t="shared" si="48"/>
        <v>87.28885623284015</v>
      </c>
      <c r="AW33" s="7">
        <f t="shared" si="52"/>
        <v>0.25</v>
      </c>
      <c r="AX33" s="7">
        <f t="shared" si="49"/>
        <v>0.0625</v>
      </c>
      <c r="AY33" s="7">
        <f t="shared" si="50"/>
        <v>-26.138246696870368</v>
      </c>
      <c r="AZ33" s="7">
        <v>24</v>
      </c>
      <c r="BB33" s="11">
        <v>30</v>
      </c>
      <c r="BC33" s="11">
        <v>0.95</v>
      </c>
    </row>
    <row r="34" spans="2:55" ht="12.75">
      <c r="B34" s="13"/>
      <c r="C34" s="13"/>
      <c r="N34" s="13"/>
      <c r="O34" s="13"/>
      <c r="T34" s="7">
        <f t="shared" si="51"/>
        <v>206.23690605325643</v>
      </c>
      <c r="U34" s="7">
        <f t="shared" si="27"/>
        <v>18.460790546189116</v>
      </c>
      <c r="V34" s="7">
        <f t="shared" si="28"/>
        <v>340.80078759026543</v>
      </c>
      <c r="X34" s="7">
        <f t="shared" si="29"/>
        <v>-0.052407765400909884</v>
      </c>
      <c r="Y34" s="7">
        <f t="shared" si="30"/>
        <v>909.1788691642109</v>
      </c>
      <c r="Z34" s="7">
        <f t="shared" si="31"/>
        <v>117.83269294258403</v>
      </c>
      <c r="AA34" s="7">
        <f t="shared" si="32"/>
        <v>88.24619960817463</v>
      </c>
      <c r="AC34" s="7">
        <f t="shared" si="33"/>
        <v>-0.2889893922867667</v>
      </c>
      <c r="AD34" s="7">
        <f t="shared" si="0"/>
        <v>206.23690605325643</v>
      </c>
      <c r="AE34" s="7">
        <f t="shared" si="34"/>
        <v>931.6417089960647</v>
      </c>
      <c r="AF34" s="7">
        <f t="shared" si="35"/>
        <v>117.70210721509505</v>
      </c>
      <c r="AG34" s="7">
        <f t="shared" si="36"/>
        <v>88.00961798128878</v>
      </c>
      <c r="AH34" s="7">
        <f t="shared" si="37"/>
        <v>117.70210721509505</v>
      </c>
      <c r="AI34" s="7">
        <f t="shared" si="38"/>
        <v>29.69248923380627</v>
      </c>
      <c r="AK34" s="7">
        <f t="shared" si="39"/>
        <v>4.4901790769757</v>
      </c>
      <c r="AL34" s="7">
        <f t="shared" si="40"/>
        <v>-0.21079068812921892</v>
      </c>
      <c r="AM34" s="7">
        <f t="shared" si="41"/>
        <v>117.18183452947689</v>
      </c>
      <c r="AN34" s="7">
        <f t="shared" si="42"/>
        <v>811.7116597724363</v>
      </c>
      <c r="AO34" s="7">
        <f t="shared" si="43"/>
        <v>88.00961798128878</v>
      </c>
      <c r="AQ34" s="7">
        <f t="shared" si="44"/>
        <v>7.911767376938196</v>
      </c>
      <c r="AR34" s="7">
        <f t="shared" si="45"/>
        <v>-0.8233236130180864</v>
      </c>
      <c r="AS34" s="7">
        <f t="shared" si="46"/>
        <v>117.18183452947687</v>
      </c>
      <c r="AT34" s="7">
        <f t="shared" si="47"/>
        <v>934.6630560489182</v>
      </c>
      <c r="AU34" s="7">
        <f t="shared" si="48"/>
        <v>87.47528376055746</v>
      </c>
      <c r="AW34" s="7">
        <f t="shared" si="52"/>
        <v>0.26052517361111105</v>
      </c>
      <c r="AX34" s="7">
        <f t="shared" si="49"/>
        <v>0.06787336608509956</v>
      </c>
      <c r="AY34" s="7">
        <f t="shared" si="50"/>
        <v>-25.45709248823489</v>
      </c>
      <c r="AZ34" s="11">
        <f>AZ33+0.5</f>
        <v>24.5</v>
      </c>
      <c r="BB34" s="11">
        <v>31</v>
      </c>
      <c r="BC34" s="11">
        <v>0.96</v>
      </c>
    </row>
    <row r="35" spans="2:55" ht="12.75">
      <c r="B35" s="13"/>
      <c r="C35" s="13"/>
      <c r="N35" s="13"/>
      <c r="O35" s="13"/>
      <c r="Q35" s="7" t="s">
        <v>99</v>
      </c>
      <c r="R35" s="7">
        <v>28.3</v>
      </c>
      <c r="T35" s="7">
        <f t="shared" si="51"/>
        <v>228.92296571911467</v>
      </c>
      <c r="U35" s="7">
        <f t="shared" si="27"/>
        <v>22.74554003195961</v>
      </c>
      <c r="V35" s="7">
        <f t="shared" si="28"/>
        <v>517.3595913454772</v>
      </c>
      <c r="X35" s="7">
        <f t="shared" si="29"/>
        <v>-0.045678488870452255</v>
      </c>
      <c r="Y35" s="7">
        <f t="shared" si="30"/>
        <v>1338.5595527715789</v>
      </c>
      <c r="Z35" s="7">
        <f t="shared" si="31"/>
        <v>119.51930586268197</v>
      </c>
      <c r="AA35" s="7">
        <f t="shared" si="32"/>
        <v>88.2529288847051</v>
      </c>
      <c r="AC35" s="7">
        <f t="shared" si="33"/>
        <v>-0.24058370958698672</v>
      </c>
      <c r="AD35" s="7">
        <f t="shared" si="0"/>
        <v>228.92296571911467</v>
      </c>
      <c r="AE35" s="7">
        <f t="shared" si="34"/>
        <v>1366.670262830528</v>
      </c>
      <c r="AF35" s="7">
        <f t="shared" si="35"/>
        <v>119.41466111173611</v>
      </c>
      <c r="AG35" s="7">
        <f t="shared" si="36"/>
        <v>88.05802366398856</v>
      </c>
      <c r="AH35" s="7">
        <f t="shared" si="37"/>
        <v>119.41466111173611</v>
      </c>
      <c r="AI35" s="7">
        <f t="shared" si="38"/>
        <v>31.356637447747545</v>
      </c>
      <c r="AK35" s="7">
        <f t="shared" si="39"/>
        <v>5.532349640741763</v>
      </c>
      <c r="AL35" s="7">
        <f t="shared" si="40"/>
        <v>-0.14008487004924822</v>
      </c>
      <c r="AM35" s="7">
        <f t="shared" si="41"/>
        <v>118.99475368094319</v>
      </c>
      <c r="AN35" s="7">
        <f t="shared" si="42"/>
        <v>1212.3363241693621</v>
      </c>
      <c r="AO35" s="7">
        <f t="shared" si="43"/>
        <v>88.05802366398856</v>
      </c>
      <c r="AQ35" s="7">
        <f t="shared" si="44"/>
        <v>9.748088585125553</v>
      </c>
      <c r="AR35" s="7">
        <f t="shared" si="45"/>
        <v>-0.6706131182711311</v>
      </c>
      <c r="AS35" s="7">
        <f t="shared" si="46"/>
        <v>118.99475368094318</v>
      </c>
      <c r="AT35" s="7">
        <f t="shared" si="47"/>
        <v>1369.85923709944</v>
      </c>
      <c r="AU35" s="7">
        <f t="shared" si="48"/>
        <v>87.62799425530442</v>
      </c>
      <c r="AW35" s="7">
        <f t="shared" si="52"/>
        <v>0.27126736111111116</v>
      </c>
      <c r="AX35" s="7">
        <f t="shared" si="49"/>
        <v>0.07358598120418598</v>
      </c>
      <c r="AY35" s="7">
        <f t="shared" si="50"/>
        <v>-24.790111332269245</v>
      </c>
      <c r="AZ35" s="7">
        <v>25</v>
      </c>
      <c r="BB35" s="11">
        <v>32</v>
      </c>
      <c r="BC35" s="11">
        <v>0.97</v>
      </c>
    </row>
    <row r="36" spans="2:55" ht="12.75">
      <c r="B36" s="13"/>
      <c r="C36" s="13"/>
      <c r="N36" s="13"/>
      <c r="O36" s="13"/>
      <c r="Q36" s="7" t="s">
        <v>100</v>
      </c>
      <c r="R36" s="11">
        <v>6.4516</v>
      </c>
      <c r="T36" s="7">
        <f t="shared" si="51"/>
        <v>254.10449194821732</v>
      </c>
      <c r="U36" s="7">
        <f t="shared" si="27"/>
        <v>28.024779873377444</v>
      </c>
      <c r="V36" s="7">
        <f t="shared" si="28"/>
        <v>785.3882869512614</v>
      </c>
      <c r="X36" s="7">
        <f t="shared" si="29"/>
        <v>-0.0392581583508977</v>
      </c>
      <c r="Y36" s="7">
        <f t="shared" si="30"/>
        <v>1982.2869575680766</v>
      </c>
      <c r="Z36" s="7">
        <f t="shared" si="31"/>
        <v>121.23101445066058</v>
      </c>
      <c r="AA36" s="7">
        <f t="shared" si="32"/>
        <v>88.25934921522465</v>
      </c>
      <c r="AC36" s="7">
        <f t="shared" si="33"/>
        <v>-0.1993733650141422</v>
      </c>
      <c r="AD36" s="7">
        <f t="shared" si="0"/>
        <v>254.10449194821732</v>
      </c>
      <c r="AE36" s="7">
        <f t="shared" si="34"/>
        <v>2017.303530741995</v>
      </c>
      <c r="AF36" s="7">
        <f t="shared" si="35"/>
        <v>121.14694649494614</v>
      </c>
      <c r="AG36" s="7">
        <f t="shared" si="36"/>
        <v>88.09923400856141</v>
      </c>
      <c r="AH36" s="7">
        <f t="shared" si="37"/>
        <v>121.14694649494614</v>
      </c>
      <c r="AI36" s="7">
        <f t="shared" si="38"/>
        <v>33.047712486384725</v>
      </c>
      <c r="AK36" s="7">
        <f t="shared" si="39"/>
        <v>6.816407992357926</v>
      </c>
      <c r="AL36" s="7">
        <f t="shared" si="40"/>
        <v>-0.09285536944948194</v>
      </c>
      <c r="AM36" s="7">
        <f t="shared" si="41"/>
        <v>120.80767283240948</v>
      </c>
      <c r="AN36" s="7">
        <f t="shared" si="42"/>
        <v>1820.505866756866</v>
      </c>
      <c r="AO36" s="7">
        <f t="shared" si="43"/>
        <v>88.09923400856141</v>
      </c>
      <c r="AQ36" s="7">
        <f t="shared" si="44"/>
        <v>12.010619945733197</v>
      </c>
      <c r="AR36" s="7">
        <f t="shared" si="45"/>
        <v>-0.5457903536904415</v>
      </c>
      <c r="AS36" s="7">
        <f t="shared" si="46"/>
        <v>120.80767283240947</v>
      </c>
      <c r="AT36" s="7">
        <f t="shared" si="47"/>
        <v>2020.6243453558404</v>
      </c>
      <c r="AU36" s="7">
        <f t="shared" si="48"/>
        <v>87.75281701988511</v>
      </c>
      <c r="AW36" s="7">
        <f t="shared" si="52"/>
        <v>0.2822265625</v>
      </c>
      <c r="AX36" s="7">
        <f t="shared" si="49"/>
        <v>0.0796518325805664</v>
      </c>
      <c r="AY36" s="7">
        <f t="shared" si="50"/>
        <v>-24.13674036068734</v>
      </c>
      <c r="AZ36" s="11">
        <f>AZ35+0.5</f>
        <v>25.5</v>
      </c>
      <c r="BB36" s="11">
        <v>33</v>
      </c>
      <c r="BC36" s="11">
        <v>0.98</v>
      </c>
    </row>
    <row r="37" spans="2:55" ht="12.75">
      <c r="B37" s="13"/>
      <c r="C37" s="13"/>
      <c r="N37" s="13"/>
      <c r="O37" s="13"/>
      <c r="Q37" s="7" t="s">
        <v>101</v>
      </c>
      <c r="R37" s="7">
        <v>2.54</v>
      </c>
      <c r="T37" s="7">
        <f t="shared" si="51"/>
        <v>282.05598606252124</v>
      </c>
      <c r="U37" s="7">
        <f t="shared" si="27"/>
        <v>34.529331281988355</v>
      </c>
      <c r="V37" s="7">
        <f t="shared" si="28"/>
        <v>1192.2747187812995</v>
      </c>
      <c r="X37" s="7">
        <f t="shared" si="29"/>
        <v>-0.033362855969785124</v>
      </c>
      <c r="Y37" s="7">
        <f t="shared" si="30"/>
        <v>2949.4314807992037</v>
      </c>
      <c r="Z37" s="7">
        <f t="shared" si="31"/>
        <v>122.96262763146751</v>
      </c>
      <c r="AA37" s="7">
        <f t="shared" si="32"/>
        <v>88.26524451760577</v>
      </c>
      <c r="AC37" s="7">
        <f t="shared" si="33"/>
        <v>-0.1645987330552476</v>
      </c>
      <c r="AD37" s="7">
        <f t="shared" si="0"/>
        <v>282.05598606252124</v>
      </c>
      <c r="AE37" s="7">
        <f t="shared" si="34"/>
        <v>2992.91687180423</v>
      </c>
      <c r="AF37" s="7">
        <f t="shared" si="35"/>
        <v>122.89495518540708</v>
      </c>
      <c r="AG37" s="7">
        <f t="shared" si="36"/>
        <v>88.1340086405203</v>
      </c>
      <c r="AH37" s="7">
        <f t="shared" si="37"/>
        <v>122.89495518540708</v>
      </c>
      <c r="AI37" s="7">
        <f t="shared" si="38"/>
        <v>34.76094654488678</v>
      </c>
      <c r="AK37" s="7">
        <f t="shared" si="39"/>
        <v>8.398496287384205</v>
      </c>
      <c r="AL37" s="7">
        <f t="shared" si="40"/>
        <v>-0.061447382229969844</v>
      </c>
      <c r="AM37" s="7">
        <f t="shared" si="41"/>
        <v>122.62059198387578</v>
      </c>
      <c r="AN37" s="7">
        <f t="shared" si="42"/>
        <v>2743.741544801631</v>
      </c>
      <c r="AO37" s="7">
        <f t="shared" si="43"/>
        <v>88.1340086405203</v>
      </c>
      <c r="AQ37" s="7">
        <f t="shared" si="44"/>
        <v>14.798284835137874</v>
      </c>
      <c r="AR37" s="7">
        <f t="shared" si="45"/>
        <v>-0.44392923718588884</v>
      </c>
      <c r="AS37" s="7">
        <f t="shared" si="46"/>
        <v>122.62059198387577</v>
      </c>
      <c r="AT37" s="7">
        <f t="shared" si="47"/>
        <v>2996.342019861251</v>
      </c>
      <c r="AU37" s="7">
        <f t="shared" si="48"/>
        <v>87.85467813638967</v>
      </c>
      <c r="AW37" s="7">
        <f t="shared" si="52"/>
        <v>0.29340277777777773</v>
      </c>
      <c r="AX37" s="7">
        <f t="shared" si="49"/>
        <v>0.08608519000771603</v>
      </c>
      <c r="AY37" s="7">
        <f t="shared" si="50"/>
        <v>-23.496455864393514</v>
      </c>
      <c r="AZ37" s="7">
        <v>26</v>
      </c>
      <c r="BB37" s="11">
        <v>34</v>
      </c>
      <c r="BC37" s="11">
        <v>0.99</v>
      </c>
    </row>
    <row r="38" spans="2:55" ht="12.75">
      <c r="B38" s="13"/>
      <c r="C38" s="13"/>
      <c r="N38" s="13"/>
      <c r="O38" s="13"/>
      <c r="T38" s="7">
        <f t="shared" si="51"/>
        <v>313.0821445293986</v>
      </c>
      <c r="U38" s="7">
        <f aca="true" t="shared" si="53" ref="U38:U49">(F/Fs)^2</f>
        <v>42.54358907253786</v>
      </c>
      <c r="V38" s="7">
        <f aca="true" t="shared" si="54" ref="V38:V49">_Fn2^2</f>
        <v>1809.956971172963</v>
      </c>
      <c r="X38" s="7">
        <f aca="true" t="shared" si="55" ref="X38:X49">10*LOG(_Fn4^2/((_Fn4-_C*_Fn2+_A)^2+_Fn2*(_D*_Fn2-_B)^2))</f>
        <v>-0.02809892145985151</v>
      </c>
      <c r="Y38" s="7">
        <f aca="true" t="shared" si="56" ref="Y38:Y49">(PK1/n0)*((_Fn4-_C*_Fn2+_A)^2+_Fn2*(_D*_Fn2-_B)^2)/(_Fn4-_E*_Fn2+_A^2)</f>
        <v>4405.1339487223495</v>
      </c>
      <c r="Z38" s="7">
        <f aca="true" t="shared" si="57" ref="Z38:Z49">PK2+10*LOG(_Fn4^2/(_Fn4-_E*_Fn2+_A^2))</f>
        <v>124.71009963931604</v>
      </c>
      <c r="AA38" s="7">
        <f aca="true" t="shared" si="58" ref="AA38:AA49">PeakSPL+dBmag</f>
        <v>88.27050845211569</v>
      </c>
      <c r="AC38" s="7">
        <f aca="true" t="shared" si="59" ref="AC38:AC49">10*LOG(_Fn4^2/((_Fn4-_Cm*_Fn2+_Am)^2+_Fn2*(_Dm*_Fn2-_Bm)^2))</f>
        <v>-0.13546667326611714</v>
      </c>
      <c r="AD38" s="7">
        <f t="shared" si="0"/>
        <v>313.0821445293986</v>
      </c>
      <c r="AE38" s="7">
        <f aca="true" t="shared" si="60" ref="AE38:AE49">(PK1/n0)*((_Fn4-_Cm*_Fn2+_Am)^2+_Fn2*(_Dm*_Fn2-_Bm)^2)/(_Fn4-_Em*_Fn2+_Am^2)</f>
        <v>4459.023248189343</v>
      </c>
      <c r="AF38" s="7">
        <f aca="true" t="shared" si="61" ref="AF38:AF49">PK2+10*LOG(_Fn4^2/(_Fn4-_Em*_Fn2+_Am^2))</f>
        <v>124.65553806685108</v>
      </c>
      <c r="AG38" s="7">
        <f aca="true" t="shared" si="62" ref="AG38:AG49">PeakSPL+dBmagm</f>
        <v>88.16314070030943</v>
      </c>
      <c r="AH38" s="7">
        <f aca="true" t="shared" si="63" ref="AH38:AH49">IF(F&gt;=Fbmod,SPLMaxm,"")</f>
        <v>124.65553806685108</v>
      </c>
      <c r="AI38" s="7">
        <f aca="true" t="shared" si="64" ref="AI38:AI49">IF(SPLMaxmMod&lt;&gt;"",SPLMaxmMod-SPLTherm,"")</f>
        <v>36.49239736654165</v>
      </c>
      <c r="AK38" s="7">
        <f aca="true" t="shared" si="65" ref="AK38:AK49">(F/Fbcl)^2</f>
        <v>10.347787275686077</v>
      </c>
      <c r="AL38" s="7">
        <f aca="true" t="shared" si="66" ref="AL38:AL49">10*LOG(Frc^2/((Frc-1)^2+Frc/Qtc^2))</f>
        <v>-0.04062219343403346</v>
      </c>
      <c r="AM38" s="7">
        <f aca="true" t="shared" si="67" ref="AM38:AM49">_CK2+40*LOG(F/Fbcl)</f>
        <v>124.43351113534209</v>
      </c>
      <c r="AN38" s="7">
        <f aca="true" t="shared" si="68" ref="AN38:AN49">_CK1*((Frc-1)^2+Frc/Qtc^2)/n0</f>
        <v>4145.267825379856</v>
      </c>
      <c r="AO38" s="7">
        <f aca="true" t="shared" si="69" ref="AO38:AO49">dBmagm+PeakSPL</f>
        <v>88.16314070030943</v>
      </c>
      <c r="AQ38" s="7">
        <f aca="true" t="shared" si="70" ref="AQ38:AQ49">(F/Fbclmod)^2</f>
        <v>18.23296674537338</v>
      </c>
      <c r="AR38" s="7">
        <f aca="true" t="shared" si="71" ref="AR38:AR49">10*LOG(Frcmod^2/((Frcmod-1)^2+Frcmod/Qtcmod^2))</f>
        <v>-0.36090905721734956</v>
      </c>
      <c r="AS38" s="7">
        <f aca="true" t="shared" si="72" ref="AS38:AS49">_CK2mod+40*LOG(F/Fbclmod)</f>
        <v>124.43351113534206</v>
      </c>
      <c r="AT38" s="7">
        <f aca="true" t="shared" si="73" ref="AT38:AT49">_CK1mod*((Frcmod-1)^2+Frcmod/Qtcmod^2)/n0</f>
        <v>4462.531368278642</v>
      </c>
      <c r="AU38" s="7">
        <f aca="true" t="shared" si="74" ref="AU38:AU49">dBMagmcmod+PeakSPL</f>
        <v>87.9376983163582</v>
      </c>
      <c r="AW38" s="7">
        <f t="shared" si="52"/>
        <v>0.3047960069444445</v>
      </c>
      <c r="AX38" s="7">
        <f aca="true" t="shared" si="75" ref="AX38:AX53">_Fn2cc^2</f>
        <v>0.09290060584927784</v>
      </c>
      <c r="AY38" s="7">
        <f aca="true" t="shared" si="76" ref="AY38:AY53">10*LOG(_Fn4cc^2/((_Fn4cc-_Cm*_Fn2cc+_Am)^2+_Fn2cc*(_Dm*_Fn2cc-_Bm)^2))</f>
        <v>-22.868771004736068</v>
      </c>
      <c r="AZ38" s="11">
        <f>AZ37+0.5</f>
        <v>26.5</v>
      </c>
      <c r="BB38" s="11">
        <v>35</v>
      </c>
      <c r="BC38" s="11">
        <v>1</v>
      </c>
    </row>
    <row r="39" spans="2:55" ht="12.75">
      <c r="B39" s="13"/>
      <c r="C39" s="13"/>
      <c r="N39" s="13"/>
      <c r="O39" s="13"/>
      <c r="Q39" s="7" t="s">
        <v>102</v>
      </c>
      <c r="R39" s="7" t="str">
        <f>IF(Mswitch=1,"l","ft3")</f>
        <v>l</v>
      </c>
      <c r="T39" s="7">
        <f aca="true" t="shared" si="77" ref="T39:T49">T38*Factor</f>
        <v>347.5211804276325</v>
      </c>
      <c r="U39" s="7">
        <f t="shared" si="53"/>
        <v>52.417956096273905</v>
      </c>
      <c r="V39" s="7">
        <f t="shared" si="54"/>
        <v>2747.642121310899</v>
      </c>
      <c r="X39" s="7">
        <f t="shared" si="55"/>
        <v>-0.023495760494687167</v>
      </c>
      <c r="Y39" s="7">
        <f t="shared" si="56"/>
        <v>6599.546686662321</v>
      </c>
      <c r="Z39" s="7">
        <f t="shared" si="57"/>
        <v>126.4702526681323</v>
      </c>
      <c r="AA39" s="7">
        <f t="shared" si="58"/>
        <v>88.27511161308087</v>
      </c>
      <c r="AC39" s="7">
        <f t="shared" si="59"/>
        <v>-0.11120544467549104</v>
      </c>
      <c r="AD39" s="7">
        <f t="shared" si="0"/>
        <v>347.5211804276325</v>
      </c>
      <c r="AE39" s="7">
        <f t="shared" si="60"/>
        <v>6666.231028184355</v>
      </c>
      <c r="AF39" s="7">
        <f t="shared" si="61"/>
        <v>126.42620553598704</v>
      </c>
      <c r="AG39" s="7">
        <f t="shared" si="62"/>
        <v>88.18740192890006</v>
      </c>
      <c r="AH39" s="7">
        <f t="shared" si="63"/>
        <v>126.42620553598704</v>
      </c>
      <c r="AI39" s="7">
        <f t="shared" si="64"/>
        <v>38.23880360708698</v>
      </c>
      <c r="AK39" s="7">
        <f t="shared" si="65"/>
        <v>12.74950870237282</v>
      </c>
      <c r="AL39" s="7">
        <f t="shared" si="66"/>
        <v>-0.026840294098410114</v>
      </c>
      <c r="AM39" s="7">
        <f t="shared" si="67"/>
        <v>126.24643028680839</v>
      </c>
      <c r="AN39" s="7">
        <f t="shared" si="68"/>
        <v>6272.870483774303</v>
      </c>
      <c r="AO39" s="7">
        <f t="shared" si="69"/>
        <v>88.18740192890006</v>
      </c>
      <c r="AQ39" s="7">
        <f t="shared" si="70"/>
        <v>22.464838326974544</v>
      </c>
      <c r="AR39" s="7">
        <f t="shared" si="71"/>
        <v>-0.29330871203266623</v>
      </c>
      <c r="AS39" s="7">
        <f t="shared" si="72"/>
        <v>126.24643028680836</v>
      </c>
      <c r="AT39" s="7">
        <f t="shared" si="73"/>
        <v>6669.805392557721</v>
      </c>
      <c r="AU39" s="7">
        <f t="shared" si="74"/>
        <v>88.00529866154288</v>
      </c>
      <c r="AW39" s="7">
        <f aca="true" t="shared" si="78" ref="AW39:AW54">(Fcc/Fs)^2</f>
        <v>0.31640625</v>
      </c>
      <c r="AX39" s="7">
        <f t="shared" si="75"/>
        <v>0.1001129150390625</v>
      </c>
      <c r="AY39" s="7">
        <f t="shared" si="76"/>
        <v>-22.253233772269198</v>
      </c>
      <c r="AZ39" s="7">
        <v>27</v>
      </c>
      <c r="BB39" s="11">
        <v>36</v>
      </c>
      <c r="BC39" s="11">
        <v>1.01</v>
      </c>
    </row>
    <row r="40" spans="2:55" ht="12.75">
      <c r="B40" s="13"/>
      <c r="C40" s="13"/>
      <c r="N40" s="13"/>
      <c r="O40" s="13"/>
      <c r="Q40" s="7" t="s">
        <v>103</v>
      </c>
      <c r="R40" s="7" t="str">
        <f>IF(Mswitch=1,"cm","in")</f>
        <v>cm</v>
      </c>
      <c r="T40" s="7">
        <f t="shared" si="77"/>
        <v>385.74851027467207</v>
      </c>
      <c r="U40" s="7">
        <f t="shared" si="53"/>
        <v>64.5841637062191</v>
      </c>
      <c r="V40" s="7">
        <f t="shared" si="54"/>
        <v>4171.114201631709</v>
      </c>
      <c r="X40" s="7">
        <f t="shared" si="55"/>
        <v>-0.019533656695156526</v>
      </c>
      <c r="Y40" s="7">
        <f t="shared" si="56"/>
        <v>9911.745109013626</v>
      </c>
      <c r="Z40" s="7">
        <f t="shared" si="57"/>
        <v>128.24057496858688</v>
      </c>
      <c r="AA40" s="7">
        <f t="shared" si="58"/>
        <v>88.27907371688039</v>
      </c>
      <c r="AC40" s="7">
        <f t="shared" si="59"/>
        <v>-0.09109771972693971</v>
      </c>
      <c r="AD40" s="7">
        <f t="shared" si="0"/>
        <v>385.74851027467207</v>
      </c>
      <c r="AE40" s="7">
        <f t="shared" si="60"/>
        <v>9994.17578670101</v>
      </c>
      <c r="AF40" s="7">
        <f t="shared" si="61"/>
        <v>128.20497949327014</v>
      </c>
      <c r="AG40" s="7">
        <f t="shared" si="62"/>
        <v>88.2075096538486</v>
      </c>
      <c r="AH40" s="7">
        <f t="shared" si="63"/>
        <v>128.20497949327014</v>
      </c>
      <c r="AI40" s="7">
        <f t="shared" si="64"/>
        <v>39.99746983942154</v>
      </c>
      <c r="AK40" s="7">
        <f t="shared" si="65"/>
        <v>15.708669672193551</v>
      </c>
      <c r="AL40" s="7">
        <f t="shared" si="66"/>
        <v>-0.017730503943467764</v>
      </c>
      <c r="AM40" s="7">
        <f t="shared" si="67"/>
        <v>128.0593494382747</v>
      </c>
      <c r="AN40" s="7">
        <f t="shared" si="68"/>
        <v>9502.705208698442</v>
      </c>
      <c r="AO40" s="7">
        <f t="shared" si="69"/>
        <v>88.2075096538486</v>
      </c>
      <c r="AQ40" s="7">
        <f t="shared" si="70"/>
        <v>27.678927302665336</v>
      </c>
      <c r="AR40" s="7">
        <f t="shared" si="71"/>
        <v>-0.23830377558334975</v>
      </c>
      <c r="AS40" s="7">
        <f t="shared" si="72"/>
        <v>128.05934943827467</v>
      </c>
      <c r="AT40" s="7">
        <f t="shared" si="73"/>
        <v>9997.803207388319</v>
      </c>
      <c r="AU40" s="7">
        <f t="shared" si="74"/>
        <v>88.0603035979922</v>
      </c>
      <c r="AW40" s="7">
        <f t="shared" si="78"/>
        <v>0.3282335069444444</v>
      </c>
      <c r="AX40" s="7">
        <f t="shared" si="75"/>
        <v>0.10773723508104864</v>
      </c>
      <c r="AY40" s="7">
        <f t="shared" si="76"/>
        <v>-21.649425166090154</v>
      </c>
      <c r="AZ40" s="11">
        <f>AZ39+0.5</f>
        <v>27.5</v>
      </c>
      <c r="BB40" s="11">
        <v>37</v>
      </c>
      <c r="BC40" s="11">
        <v>1.02</v>
      </c>
    </row>
    <row r="41" spans="2:55" ht="12.75">
      <c r="B41" s="13"/>
      <c r="C41" s="13"/>
      <c r="N41" s="13"/>
      <c r="O41" s="13"/>
      <c r="Q41" s="7" t="s">
        <v>104</v>
      </c>
      <c r="R41" s="7" t="str">
        <f>IF(Mswitch=1,"mm","in")</f>
        <v>mm</v>
      </c>
      <c r="T41" s="7">
        <f t="shared" si="77"/>
        <v>428.18084640488604</v>
      </c>
      <c r="U41" s="7">
        <f t="shared" si="53"/>
        <v>79.57414810243256</v>
      </c>
      <c r="V41" s="7">
        <f t="shared" si="54"/>
        <v>6332.045046227871</v>
      </c>
      <c r="X41" s="7">
        <f t="shared" si="55"/>
        <v>-0.016164633320266856</v>
      </c>
      <c r="Y41" s="7">
        <f t="shared" si="56"/>
        <v>14916.35960390161</v>
      </c>
      <c r="Z41" s="7">
        <f t="shared" si="57"/>
        <v>130.01907118821234</v>
      </c>
      <c r="AA41" s="7">
        <f t="shared" si="58"/>
        <v>88.28244274025528</v>
      </c>
      <c r="AC41" s="7">
        <f t="shared" si="59"/>
        <v>-0.07449763369416018</v>
      </c>
      <c r="AD41" s="7">
        <f t="shared" si="0"/>
        <v>428.18084640488604</v>
      </c>
      <c r="AE41" s="7">
        <f t="shared" si="60"/>
        <v>15018.176843998428</v>
      </c>
      <c r="AF41" s="7">
        <f t="shared" si="61"/>
        <v>129.99028187971248</v>
      </c>
      <c r="AG41" s="7">
        <f t="shared" si="62"/>
        <v>88.22410973988138</v>
      </c>
      <c r="AH41" s="7">
        <f t="shared" si="63"/>
        <v>129.99028187971248</v>
      </c>
      <c r="AI41" s="7">
        <f t="shared" si="64"/>
        <v>41.7661721398311</v>
      </c>
      <c r="AK41" s="7">
        <f t="shared" si="65"/>
        <v>19.354651903109684</v>
      </c>
      <c r="AL41" s="7">
        <f t="shared" si="66"/>
        <v>-0.011713234864125382</v>
      </c>
      <c r="AM41" s="7">
        <f t="shared" si="67"/>
        <v>129.872268589741</v>
      </c>
      <c r="AN41" s="7">
        <f t="shared" si="68"/>
        <v>14405.802124897924</v>
      </c>
      <c r="AO41" s="7">
        <f t="shared" si="69"/>
        <v>88.22410973988138</v>
      </c>
      <c r="AQ41" s="7">
        <f t="shared" si="70"/>
        <v>34.10320632961397</v>
      </c>
      <c r="AR41" s="7">
        <f t="shared" si="71"/>
        <v>-0.1935720883400654</v>
      </c>
      <c r="AS41" s="7">
        <f t="shared" si="72"/>
        <v>129.87226858974097</v>
      </c>
      <c r="AT41" s="7">
        <f t="shared" si="73"/>
        <v>15021.846866661539</v>
      </c>
      <c r="AU41" s="7">
        <f t="shared" si="74"/>
        <v>88.10503528523549</v>
      </c>
      <c r="AW41" s="7">
        <f t="shared" si="78"/>
        <v>0.34027777777777785</v>
      </c>
      <c r="AX41" s="7">
        <f t="shared" si="75"/>
        <v>0.11578896604938277</v>
      </c>
      <c r="AY41" s="7">
        <f t="shared" si="76"/>
        <v>-21.056957569723025</v>
      </c>
      <c r="AZ41" s="7">
        <v>28</v>
      </c>
      <c r="BB41" s="11">
        <v>38</v>
      </c>
      <c r="BC41" s="11">
        <v>1.03</v>
      </c>
    </row>
    <row r="42" spans="2:55" ht="12.75">
      <c r="B42" s="13"/>
      <c r="C42" s="13"/>
      <c r="N42" s="13"/>
      <c r="O42" s="13"/>
      <c r="Q42" s="7" t="s">
        <v>105</v>
      </c>
      <c r="R42" s="7" t="str">
        <f>IF(Mswitch=1,"cm2","in2")</f>
        <v>cm2</v>
      </c>
      <c r="T42" s="7">
        <f t="shared" si="77"/>
        <v>475.28073950942354</v>
      </c>
      <c r="U42" s="7">
        <f t="shared" si="53"/>
        <v>98.04330787700717</v>
      </c>
      <c r="V42" s="7">
        <f t="shared" si="54"/>
        <v>9612.490219465615</v>
      </c>
      <c r="X42" s="7">
        <f t="shared" si="55"/>
        <v>-0.013326938252341151</v>
      </c>
      <c r="Y42" s="7">
        <f t="shared" si="56"/>
        <v>22484.691280785133</v>
      </c>
      <c r="Z42" s="7">
        <f t="shared" si="57"/>
        <v>131.80414972528925</v>
      </c>
      <c r="AA42" s="7">
        <f t="shared" si="58"/>
        <v>88.2852804353232</v>
      </c>
      <c r="AC42" s="7">
        <f t="shared" si="59"/>
        <v>-0.06083695663481191</v>
      </c>
      <c r="AD42" s="7">
        <f t="shared" si="0"/>
        <v>475.28073950942354</v>
      </c>
      <c r="AE42" s="7">
        <f t="shared" si="60"/>
        <v>22610.383234115914</v>
      </c>
      <c r="AF42" s="7">
        <f t="shared" si="61"/>
        <v>131.78084965165098</v>
      </c>
      <c r="AG42" s="7">
        <f t="shared" si="62"/>
        <v>88.23777041694073</v>
      </c>
      <c r="AH42" s="7">
        <f t="shared" si="63"/>
        <v>131.78084965165098</v>
      </c>
      <c r="AI42" s="7">
        <f t="shared" si="64"/>
        <v>43.54307923471025</v>
      </c>
      <c r="AK42" s="7">
        <f t="shared" si="65"/>
        <v>23.846866609821436</v>
      </c>
      <c r="AL42" s="7">
        <f t="shared" si="66"/>
        <v>-0.007740111347879897</v>
      </c>
      <c r="AM42" s="7">
        <f t="shared" si="67"/>
        <v>131.68518774120727</v>
      </c>
      <c r="AN42" s="7">
        <f t="shared" si="68"/>
        <v>21849.024310618915</v>
      </c>
      <c r="AO42" s="7">
        <f t="shared" si="69"/>
        <v>88.23777041694073</v>
      </c>
      <c r="AQ42" s="7">
        <f t="shared" si="70"/>
        <v>42.01856051871738</v>
      </c>
      <c r="AR42" s="7">
        <f t="shared" si="71"/>
        <v>-0.15721032138752689</v>
      </c>
      <c r="AS42" s="7">
        <f t="shared" si="72"/>
        <v>131.68518774120727</v>
      </c>
      <c r="AT42" s="7">
        <f t="shared" si="73"/>
        <v>22614.087534523704</v>
      </c>
      <c r="AU42" s="7">
        <f t="shared" si="74"/>
        <v>88.14139705218803</v>
      </c>
      <c r="AW42" s="7">
        <f t="shared" si="78"/>
        <v>0.3525390625</v>
      </c>
      <c r="AX42" s="7">
        <f t="shared" si="75"/>
        <v>0.1242837905883789</v>
      </c>
      <c r="AY42" s="7">
        <f t="shared" si="76"/>
        <v>-20.475473301900777</v>
      </c>
      <c r="AZ42" s="11">
        <f>AZ41+0.5</f>
        <v>28.5</v>
      </c>
      <c r="BB42" s="11">
        <v>39</v>
      </c>
      <c r="BC42" s="11">
        <v>1.04</v>
      </c>
    </row>
    <row r="43" spans="2:55" ht="12.75">
      <c r="B43" s="13"/>
      <c r="C43" s="13"/>
      <c r="N43" s="13"/>
      <c r="O43" s="13"/>
      <c r="T43" s="7">
        <f t="shared" si="77"/>
        <v>527.5616208554602</v>
      </c>
      <c r="U43" s="7">
        <f t="shared" si="53"/>
        <v>120.79915963526058</v>
      </c>
      <c r="V43" s="7">
        <f t="shared" si="54"/>
        <v>14592.436968585169</v>
      </c>
      <c r="X43" s="7">
        <f t="shared" si="55"/>
        <v>-0.010954485259560241</v>
      </c>
      <c r="Y43" s="7">
        <f t="shared" si="56"/>
        <v>33938.167998821715</v>
      </c>
      <c r="Z43" s="7">
        <f t="shared" si="57"/>
        <v>133.59453683988374</v>
      </c>
      <c r="AA43" s="7">
        <f t="shared" si="58"/>
        <v>88.28765288831599</v>
      </c>
      <c r="AC43" s="7">
        <f t="shared" si="59"/>
        <v>-0.04962433373359</v>
      </c>
      <c r="AD43" s="7">
        <f t="shared" si="0"/>
        <v>527.5616208554602</v>
      </c>
      <c r="AE43" s="7">
        <f t="shared" si="60"/>
        <v>34093.2668677973</v>
      </c>
      <c r="AF43" s="7">
        <f t="shared" si="61"/>
        <v>133.57566921953492</v>
      </c>
      <c r="AG43" s="7">
        <f t="shared" si="62"/>
        <v>88.24898303984196</v>
      </c>
      <c r="AH43" s="7">
        <f t="shared" si="63"/>
        <v>133.57566921953492</v>
      </c>
      <c r="AI43" s="7">
        <f t="shared" si="64"/>
        <v>45.326686179692956</v>
      </c>
      <c r="AK43" s="7">
        <f t="shared" si="65"/>
        <v>29.381724349961008</v>
      </c>
      <c r="AL43" s="7">
        <f t="shared" si="66"/>
        <v>-0.00511700460005975</v>
      </c>
      <c r="AM43" s="7">
        <f t="shared" si="67"/>
        <v>133.49810689267358</v>
      </c>
      <c r="AN43" s="7">
        <f t="shared" si="68"/>
        <v>33148.32989812914</v>
      </c>
      <c r="AO43" s="7">
        <f t="shared" si="69"/>
        <v>88.24898303984196</v>
      </c>
      <c r="AQ43" s="7">
        <f t="shared" si="70"/>
        <v>51.7710684151117</v>
      </c>
      <c r="AR43" s="7">
        <f t="shared" si="71"/>
        <v>-0.1276620231383929</v>
      </c>
      <c r="AS43" s="7">
        <f t="shared" si="72"/>
        <v>133.49810689267355</v>
      </c>
      <c r="AT43" s="7">
        <f t="shared" si="73"/>
        <v>34096.99879388004</v>
      </c>
      <c r="AU43" s="7">
        <f t="shared" si="74"/>
        <v>88.17094535043715</v>
      </c>
      <c r="AW43" s="7">
        <f t="shared" si="78"/>
        <v>0.36501736111111105</v>
      </c>
      <c r="AX43" s="7">
        <f t="shared" si="75"/>
        <v>0.13323767391251926</v>
      </c>
      <c r="AY43" s="7">
        <f t="shared" si="76"/>
        <v>-19.904643322522908</v>
      </c>
      <c r="AZ43" s="7">
        <v>29</v>
      </c>
      <c r="BB43" s="11">
        <v>40</v>
      </c>
      <c r="BC43" s="11">
        <v>1.05</v>
      </c>
    </row>
    <row r="44" spans="2:55" ht="12.75" customHeight="1">
      <c r="B44" s="13"/>
      <c r="C44" s="13"/>
      <c r="N44" s="13"/>
      <c r="O44" s="13"/>
      <c r="T44" s="7">
        <f t="shared" si="77"/>
        <v>585.5933991495609</v>
      </c>
      <c r="U44" s="7">
        <f t="shared" si="53"/>
        <v>148.8366445866046</v>
      </c>
      <c r="V44" s="7">
        <f t="shared" si="54"/>
        <v>22152.346771799253</v>
      </c>
      <c r="X44" s="7">
        <f t="shared" si="55"/>
        <v>-0.008982615528803063</v>
      </c>
      <c r="Y44" s="7">
        <f t="shared" si="56"/>
        <v>51281.246058558994</v>
      </c>
      <c r="Z44" s="7">
        <f t="shared" si="57"/>
        <v>135.3892104515829</v>
      </c>
      <c r="AA44" s="7">
        <f t="shared" si="58"/>
        <v>88.28962475804674</v>
      </c>
      <c r="AC44" s="7">
        <f t="shared" si="59"/>
        <v>-0.04044045809146371</v>
      </c>
      <c r="AD44" s="7">
        <f t="shared" si="0"/>
        <v>585.5933991495609</v>
      </c>
      <c r="AE44" s="7">
        <f t="shared" si="60"/>
        <v>51472.569910959886</v>
      </c>
      <c r="AF44" s="7">
        <f t="shared" si="61"/>
        <v>135.3739254369767</v>
      </c>
      <c r="AG44" s="7">
        <f t="shared" si="62"/>
        <v>88.25816691548408</v>
      </c>
      <c r="AH44" s="7">
        <f t="shared" si="63"/>
        <v>135.3739254369767</v>
      </c>
      <c r="AI44" s="7">
        <f t="shared" si="64"/>
        <v>47.11575852149261</v>
      </c>
      <c r="AK44" s="7">
        <f t="shared" si="65"/>
        <v>36.20122257158697</v>
      </c>
      <c r="AL44" s="7">
        <f t="shared" si="66"/>
        <v>-0.0033850503518227763</v>
      </c>
      <c r="AM44" s="7">
        <f t="shared" si="67"/>
        <v>135.31102604413988</v>
      </c>
      <c r="AN44" s="7">
        <f t="shared" si="68"/>
        <v>50301.43468730723</v>
      </c>
      <c r="AO44" s="7">
        <f t="shared" si="69"/>
        <v>88.25816691548408</v>
      </c>
      <c r="AQ44" s="7">
        <f t="shared" si="70"/>
        <v>63.787133394259136</v>
      </c>
      <c r="AR44" s="7">
        <f t="shared" si="71"/>
        <v>-0.10365659783668804</v>
      </c>
      <c r="AS44" s="7">
        <f t="shared" si="72"/>
        <v>135.31102604413985</v>
      </c>
      <c r="AT44" s="7">
        <f t="shared" si="73"/>
        <v>51476.32413133972</v>
      </c>
      <c r="AU44" s="7">
        <f t="shared" si="74"/>
        <v>88.19495077573886</v>
      </c>
      <c r="AW44" s="7">
        <f t="shared" si="78"/>
        <v>0.37771267361111116</v>
      </c>
      <c r="AX44" s="7">
        <f t="shared" si="75"/>
        <v>0.1426668638064538</v>
      </c>
      <c r="AY44" s="7">
        <f t="shared" si="76"/>
        <v>-19.344166075594693</v>
      </c>
      <c r="AZ44" s="11">
        <f>AZ43+0.5</f>
        <v>29.5</v>
      </c>
      <c r="BB44" s="11">
        <v>41</v>
      </c>
      <c r="BC44" s="11">
        <v>1.06</v>
      </c>
    </row>
    <row r="45" spans="2:55" ht="12.75">
      <c r="B45" s="13"/>
      <c r="C45" s="13"/>
      <c r="N45" s="13"/>
      <c r="O45" s="13"/>
      <c r="Q45" s="11" t="str">
        <f>"SPL limited by power input ("&amp;TEXT(PEMax,"0.0")&amp;"W)"</f>
        <v>SPL limited by power input (1.0W)</v>
      </c>
      <c r="T45" s="7">
        <f t="shared" si="77"/>
        <v>650.0086730560126</v>
      </c>
      <c r="U45" s="7">
        <f t="shared" si="53"/>
        <v>183.3816297951555</v>
      </c>
      <c r="V45" s="7">
        <f t="shared" si="54"/>
        <v>33628.82214632747</v>
      </c>
      <c r="X45" s="7">
        <f t="shared" si="55"/>
        <v>-0.007351319809658606</v>
      </c>
      <c r="Y45" s="7">
        <f t="shared" si="56"/>
        <v>77554.90303977093</v>
      </c>
      <c r="Z45" s="7">
        <f t="shared" si="57"/>
        <v>137.1873486459657</v>
      </c>
      <c r="AA45" s="7">
        <f t="shared" si="58"/>
        <v>88.29125605376589</v>
      </c>
      <c r="AC45" s="7">
        <f t="shared" si="59"/>
        <v>-0.032931147357785344</v>
      </c>
      <c r="AD45" s="7">
        <f t="shared" si="0"/>
        <v>650.0086730560126</v>
      </c>
      <c r="AE45" s="7">
        <f t="shared" si="60"/>
        <v>77790.85386788077</v>
      </c>
      <c r="AF45" s="7">
        <f t="shared" si="61"/>
        <v>137.174961611512</v>
      </c>
      <c r="AG45" s="7">
        <f t="shared" si="62"/>
        <v>88.26567622621776</v>
      </c>
      <c r="AH45" s="7">
        <f t="shared" si="63"/>
        <v>137.174961611512</v>
      </c>
      <c r="AI45" s="7">
        <f t="shared" si="64"/>
        <v>48.90928538529424</v>
      </c>
      <c r="AK45" s="7">
        <f t="shared" si="65"/>
        <v>44.6035263304523</v>
      </c>
      <c r="AL45" s="7">
        <f t="shared" si="66"/>
        <v>-0.0022412102074917677</v>
      </c>
      <c r="AM45" s="7">
        <f t="shared" si="67"/>
        <v>137.12394519560618</v>
      </c>
      <c r="AN45" s="7">
        <f t="shared" si="68"/>
        <v>76341.01031794082</v>
      </c>
      <c r="AO45" s="7">
        <f t="shared" si="69"/>
        <v>88.26567622621776</v>
      </c>
      <c r="AQ45" s="7">
        <f t="shared" si="70"/>
        <v>78.5921270550667</v>
      </c>
      <c r="AR45" s="7">
        <f t="shared" si="71"/>
        <v>-0.0841581561007381</v>
      </c>
      <c r="AS45" s="7">
        <f t="shared" si="72"/>
        <v>137.12394519560615</v>
      </c>
      <c r="AT45" s="7">
        <f t="shared" si="73"/>
        <v>77794.62609951112</v>
      </c>
      <c r="AU45" s="7">
        <f t="shared" si="74"/>
        <v>88.21444921747481</v>
      </c>
      <c r="AW45" s="7">
        <f t="shared" si="78"/>
        <v>0.390625</v>
      </c>
      <c r="AX45" s="7">
        <f t="shared" si="75"/>
        <v>0.152587890625</v>
      </c>
      <c r="AY45" s="7">
        <f t="shared" si="76"/>
        <v>-18.793766452132964</v>
      </c>
      <c r="AZ45" s="7">
        <v>30</v>
      </c>
      <c r="BB45" s="11">
        <v>42</v>
      </c>
      <c r="BC45" s="11">
        <v>1.07</v>
      </c>
    </row>
    <row r="46" spans="2:55" ht="12.75">
      <c r="B46" s="13"/>
      <c r="C46" s="13"/>
      <c r="N46" s="13"/>
      <c r="O46" s="13"/>
      <c r="Q46" s="11" t="str">
        <f>"SPL limited by cone excursion ("&amp;TEXT(Xmax_i,"0.00")&amp;len10&amp;")"</f>
        <v>SPL limited by cone excursion (6.00mm)</v>
      </c>
      <c r="T46" s="7">
        <f t="shared" si="77"/>
        <v>721.5096270921741</v>
      </c>
      <c r="U46" s="7">
        <f t="shared" si="53"/>
        <v>225.9445060706112</v>
      </c>
      <c r="V46" s="7">
        <f t="shared" si="54"/>
        <v>51050.91982349246</v>
      </c>
      <c r="X46" s="7">
        <f t="shared" si="55"/>
        <v>-0.006006787540718315</v>
      </c>
      <c r="Y46" s="7">
        <f t="shared" si="56"/>
        <v>117373.18055233556</v>
      </c>
      <c r="Z46" s="7">
        <f t="shared" si="57"/>
        <v>138.98828931760886</v>
      </c>
      <c r="AA46" s="7">
        <f t="shared" si="58"/>
        <v>88.29260058603484</v>
      </c>
      <c r="AC46" s="7">
        <f t="shared" si="59"/>
        <v>-0.026799615039908888</v>
      </c>
      <c r="AD46" s="7">
        <f t="shared" si="0"/>
        <v>721.5096270921741</v>
      </c>
      <c r="AE46" s="7">
        <f t="shared" si="60"/>
        <v>117664.11160050206</v>
      </c>
      <c r="AF46" s="7">
        <f t="shared" si="61"/>
        <v>138.9782479595642</v>
      </c>
      <c r="AG46" s="7">
        <f t="shared" si="62"/>
        <v>88.27180775853564</v>
      </c>
      <c r="AH46" s="7">
        <f t="shared" si="63"/>
        <v>138.9782479595642</v>
      </c>
      <c r="AI46" s="7">
        <f t="shared" si="64"/>
        <v>50.70644020102854</v>
      </c>
      <c r="AK46" s="7">
        <f t="shared" si="65"/>
        <v>54.9560047917503</v>
      </c>
      <c r="AL46" s="7">
        <f t="shared" si="66"/>
        <v>-0.0014854757943850072</v>
      </c>
      <c r="AM46" s="7">
        <f t="shared" si="67"/>
        <v>138.9368643470725</v>
      </c>
      <c r="AN46" s="7">
        <f t="shared" si="68"/>
        <v>115870.86389384538</v>
      </c>
      <c r="AO46" s="7">
        <f t="shared" si="69"/>
        <v>88.27180775853564</v>
      </c>
      <c r="AQ46" s="7">
        <f t="shared" si="70"/>
        <v>96.83335974454769</v>
      </c>
      <c r="AR46" s="7">
        <f t="shared" si="71"/>
        <v>-0.06832299469241487</v>
      </c>
      <c r="AS46" s="7">
        <f t="shared" si="72"/>
        <v>138.93686434707246</v>
      </c>
      <c r="AT46" s="7">
        <f t="shared" si="73"/>
        <v>117667.89839589589</v>
      </c>
      <c r="AU46" s="7">
        <f t="shared" si="74"/>
        <v>88.23028437888314</v>
      </c>
      <c r="AW46" s="7">
        <f t="shared" si="78"/>
        <v>0.40375434027777773</v>
      </c>
      <c r="AX46" s="7">
        <f t="shared" si="75"/>
        <v>0.16301756729314354</v>
      </c>
      <c r="AY46" s="7">
        <f t="shared" si="76"/>
        <v>-18.253194856894762</v>
      </c>
      <c r="AZ46" s="11">
        <f>AZ45+0.5</f>
        <v>30.5</v>
      </c>
      <c r="BB46" s="11">
        <v>43</v>
      </c>
      <c r="BC46" s="11">
        <v>1.08</v>
      </c>
    </row>
    <row r="47" spans="2:55" ht="12.75">
      <c r="B47" s="13"/>
      <c r="C47" s="13"/>
      <c r="N47" s="13"/>
      <c r="O47" s="13"/>
      <c r="Q47" s="7" t="str">
        <f>$A$3&amp;CHAR(10)&amp;"Ported box, "&amp;TEXT(Vbmod_i,"0.00")&amp;vol</f>
        <v>15H52
Ported box, 12.00l</v>
      </c>
      <c r="T47" s="7">
        <f t="shared" si="77"/>
        <v>800.8756860723133</v>
      </c>
      <c r="U47" s="7">
        <f t="shared" si="53"/>
        <v>278.3862259296</v>
      </c>
      <c r="V47" s="7">
        <f t="shared" si="54"/>
        <v>77498.89078732631</v>
      </c>
      <c r="X47" s="7">
        <f t="shared" si="55"/>
        <v>-0.004901903833826317</v>
      </c>
      <c r="Y47" s="7">
        <f t="shared" si="56"/>
        <v>177737.59003042322</v>
      </c>
      <c r="Z47" s="7">
        <f t="shared" si="57"/>
        <v>140.79149834184926</v>
      </c>
      <c r="AA47" s="7">
        <f t="shared" si="58"/>
        <v>88.29370546974172</v>
      </c>
      <c r="AC47" s="7">
        <f t="shared" si="59"/>
        <v>-0.021798736091145694</v>
      </c>
      <c r="AD47" s="7">
        <f t="shared" si="0"/>
        <v>800.8756860723133</v>
      </c>
      <c r="AE47" s="7">
        <f t="shared" si="60"/>
        <v>178096.25844596708</v>
      </c>
      <c r="AF47" s="7">
        <f t="shared" si="61"/>
        <v>140.78335659386084</v>
      </c>
      <c r="AG47" s="7">
        <f t="shared" si="62"/>
        <v>88.27680863748441</v>
      </c>
      <c r="AH47" s="7">
        <f t="shared" si="63"/>
        <v>140.78335659386084</v>
      </c>
      <c r="AI47" s="7">
        <f t="shared" si="64"/>
        <v>52.50654795637644</v>
      </c>
      <c r="AK47" s="7">
        <f t="shared" si="65"/>
        <v>67.71129350391556</v>
      </c>
      <c r="AL47" s="7">
        <f t="shared" si="66"/>
        <v>-0.0009858843357912965</v>
      </c>
      <c r="AM47" s="7">
        <f t="shared" si="67"/>
        <v>140.74978349853876</v>
      </c>
      <c r="AN47" s="7">
        <f t="shared" si="68"/>
        <v>175879.8963182965</v>
      </c>
      <c r="AO47" s="7">
        <f t="shared" si="69"/>
        <v>88.27680863748441</v>
      </c>
      <c r="AQ47" s="7">
        <f t="shared" si="70"/>
        <v>119.30838254125725</v>
      </c>
      <c r="AR47" s="7">
        <f t="shared" si="71"/>
        <v>-0.05546446023678542</v>
      </c>
      <c r="AS47" s="7">
        <f t="shared" si="72"/>
        <v>140.74978349853876</v>
      </c>
      <c r="AT47" s="7">
        <f t="shared" si="73"/>
        <v>178100.05702585084</v>
      </c>
      <c r="AU47" s="7">
        <f t="shared" si="74"/>
        <v>88.24314291333876</v>
      </c>
      <c r="AW47" s="7">
        <f t="shared" si="78"/>
        <v>0.4171006944444445</v>
      </c>
      <c r="AX47" s="7">
        <f t="shared" si="75"/>
        <v>0.17397298930603783</v>
      </c>
      <c r="AY47" s="7">
        <f t="shared" si="76"/>
        <v>-17.722226363385833</v>
      </c>
      <c r="AZ47" s="7">
        <v>31</v>
      </c>
      <c r="BB47" s="11">
        <v>44</v>
      </c>
      <c r="BC47" s="11">
        <v>1.09</v>
      </c>
    </row>
    <row r="48" spans="2:55" ht="12.75">
      <c r="B48" s="13"/>
      <c r="C48" s="13"/>
      <c r="N48" s="13"/>
      <c r="O48" s="13"/>
      <c r="Q48" s="7" t="str">
        <f>$A$3&amp;CHAR(10)&amp;"Sealed box, "&amp;TEXT(Vbmodcl_i,"0.00")&amp;vol</f>
        <v>15H52
Sealed box, 12.00l</v>
      </c>
      <c r="T48" s="7">
        <f t="shared" si="77"/>
        <v>888.9720115402679</v>
      </c>
      <c r="U48" s="7">
        <f t="shared" si="53"/>
        <v>342.99966896786026</v>
      </c>
      <c r="V48" s="7">
        <f t="shared" si="54"/>
        <v>117648.77291206172</v>
      </c>
      <c r="X48" s="7">
        <f t="shared" si="55"/>
        <v>-0.003996120809707836</v>
      </c>
      <c r="Y48" s="7">
        <f t="shared" si="56"/>
        <v>269273.3100410312</v>
      </c>
      <c r="Z48" s="7">
        <f t="shared" si="57"/>
        <v>142.59654434215983</v>
      </c>
      <c r="AA48" s="7">
        <f t="shared" si="58"/>
        <v>88.29461125276585</v>
      </c>
      <c r="AC48" s="7">
        <f t="shared" si="59"/>
        <v>-0.0177237669426415</v>
      </c>
      <c r="AD48" s="7">
        <f t="shared" si="0"/>
        <v>888.9720115402679</v>
      </c>
      <c r="AE48" s="7">
        <f t="shared" si="60"/>
        <v>269715.43463599187</v>
      </c>
      <c r="AF48" s="7">
        <f t="shared" si="61"/>
        <v>142.5899416060317</v>
      </c>
      <c r="AG48" s="7">
        <f t="shared" si="62"/>
        <v>88.28088360663291</v>
      </c>
      <c r="AH48" s="7">
        <f t="shared" si="63"/>
        <v>142.5899416060317</v>
      </c>
      <c r="AI48" s="7">
        <f t="shared" si="64"/>
        <v>54.309057999398775</v>
      </c>
      <c r="AK48" s="7">
        <f t="shared" si="65"/>
        <v>83.42708472617436</v>
      </c>
      <c r="AL48" s="7">
        <f t="shared" si="66"/>
        <v>-0.0006553816259291809</v>
      </c>
      <c r="AM48" s="7">
        <f t="shared" si="67"/>
        <v>142.56270265000506</v>
      </c>
      <c r="AN48" s="7">
        <f t="shared" si="68"/>
        <v>266977.74825158727</v>
      </c>
      <c r="AO48" s="7">
        <f t="shared" si="69"/>
        <v>88.28088360663291</v>
      </c>
      <c r="AQ48" s="7">
        <f t="shared" si="70"/>
        <v>146.9998581290831</v>
      </c>
      <c r="AR48" s="7">
        <f t="shared" si="71"/>
        <v>-0.04502404071487558</v>
      </c>
      <c r="AS48" s="7">
        <f t="shared" si="72"/>
        <v>142.56270265000506</v>
      </c>
      <c r="AT48" s="7">
        <f t="shared" si="73"/>
        <v>269719.24275694287</v>
      </c>
      <c r="AU48" s="7">
        <f t="shared" si="74"/>
        <v>88.25358333286067</v>
      </c>
      <c r="AW48" s="7">
        <f t="shared" si="78"/>
        <v>0.4306640625</v>
      </c>
      <c r="AX48" s="7">
        <f t="shared" si="75"/>
        <v>0.1854715347290039</v>
      </c>
      <c r="AY48" s="7">
        <f t="shared" si="76"/>
        <v>-17.20065994196896</v>
      </c>
      <c r="AZ48" s="11">
        <f>AZ47+0.5</f>
        <v>31.5</v>
      </c>
      <c r="BB48" s="11">
        <v>45</v>
      </c>
      <c r="BC48" s="11">
        <v>1.1</v>
      </c>
    </row>
    <row r="49" spans="2:55" ht="12.75">
      <c r="B49" s="13"/>
      <c r="C49" s="13"/>
      <c r="N49" s="13"/>
      <c r="O49" s="13"/>
      <c r="Q49" s="7" t="str">
        <f>IF(Np&lt;=1,"Port: Dia "&amp;TEXT(Dv_i,"0.00")&amp;len&amp;", Length "&amp;TEXT(PortLengthMod_i,"0.00")&amp;len,"Ports: "&amp;Np&amp;" x (Dia "&amp;TEXT(Dv_i,"0.00")&amp;len&amp;", Length "&amp;TEXT(PortLengthMod_i,"0.00")&amp;len&amp;")")</f>
        <v>Port: Dia 4.00cm, Length 9.64cm</v>
      </c>
      <c r="T49" s="7">
        <f t="shared" si="77"/>
        <v>986.7589328096974</v>
      </c>
      <c r="U49" s="7">
        <f t="shared" si="53"/>
        <v>422.6098921353008</v>
      </c>
      <c r="V49" s="7">
        <f t="shared" si="54"/>
        <v>178599.12093061057</v>
      </c>
      <c r="X49" s="7">
        <f t="shared" si="55"/>
        <v>-0.003254985975434177</v>
      </c>
      <c r="Y49" s="7">
        <f t="shared" si="56"/>
        <v>408105.6630654757</v>
      </c>
      <c r="Z49" s="7">
        <f t="shared" si="57"/>
        <v>144.40307860048898</v>
      </c>
      <c r="AA49" s="7">
        <f t="shared" si="58"/>
        <v>88.29535238760012</v>
      </c>
      <c r="AC49" s="7">
        <f t="shared" si="59"/>
        <v>-0.014405754722642907</v>
      </c>
      <c r="AD49" s="7">
        <f t="shared" si="0"/>
        <v>986.7589328096974</v>
      </c>
      <c r="AE49" s="7">
        <f t="shared" si="60"/>
        <v>408650.6115736491</v>
      </c>
      <c r="AF49" s="7">
        <f t="shared" si="61"/>
        <v>144.39772315092054</v>
      </c>
      <c r="AG49" s="7">
        <f t="shared" si="62"/>
        <v>88.2842016188529</v>
      </c>
      <c r="AH49" s="7">
        <f t="shared" si="63"/>
        <v>144.39772315092054</v>
      </c>
      <c r="AI49" s="7">
        <f t="shared" si="64"/>
        <v>56.11352153206764</v>
      </c>
      <c r="AK49" s="7">
        <f t="shared" si="65"/>
        <v>102.79051109111944</v>
      </c>
      <c r="AL49" s="7">
        <f t="shared" si="66"/>
        <v>-0.00043653952279187024</v>
      </c>
      <c r="AM49" s="7">
        <f t="shared" si="67"/>
        <v>144.37562180147137</v>
      </c>
      <c r="AN49" s="7">
        <f t="shared" si="68"/>
        <v>405270.5975452902</v>
      </c>
      <c r="AO49" s="7">
        <f t="shared" si="69"/>
        <v>88.2842016188529</v>
      </c>
      <c r="AQ49" s="7">
        <f t="shared" si="70"/>
        <v>181.11852520084327</v>
      </c>
      <c r="AR49" s="7">
        <f t="shared" si="71"/>
        <v>-0.03654765701811001</v>
      </c>
      <c r="AS49" s="7">
        <f t="shared" si="72"/>
        <v>144.37562180147137</v>
      </c>
      <c r="AT49" s="7">
        <f t="shared" si="73"/>
        <v>408654.4274229165</v>
      </c>
      <c r="AU49" s="7">
        <f t="shared" si="74"/>
        <v>88.26205971655745</v>
      </c>
      <c r="AW49" s="7">
        <f t="shared" si="78"/>
        <v>0.4444444444444444</v>
      </c>
      <c r="AX49" s="7">
        <f t="shared" si="75"/>
        <v>0.19753086419753085</v>
      </c>
      <c r="AY49" s="7">
        <f t="shared" si="76"/>
        <v>-16.68831774605162</v>
      </c>
      <c r="AZ49" s="7">
        <v>32</v>
      </c>
      <c r="BB49" s="11">
        <v>46</v>
      </c>
      <c r="BC49" s="11">
        <v>1.11</v>
      </c>
    </row>
    <row r="50" spans="2:55" ht="12.75">
      <c r="B50" s="13"/>
      <c r="C50" s="13"/>
      <c r="N50" s="13"/>
      <c r="O50" s="13"/>
      <c r="Q50" s="7" t="str">
        <f>"Qtc "&amp;TEXT(Qtcmod,"0.00")</f>
        <v>Qtc 0.53</v>
      </c>
      <c r="AW50" s="7">
        <f t="shared" si="78"/>
        <v>0.45844184027777785</v>
      </c>
      <c r="AX50" s="7">
        <f t="shared" si="75"/>
        <v>0.21016892091727557</v>
      </c>
      <c r="AY50" s="7">
        <f t="shared" si="76"/>
        <v>-16.18504444132109</v>
      </c>
      <c r="AZ50" s="11">
        <f>AZ49+0.5</f>
        <v>32.5</v>
      </c>
      <c r="BB50" s="11">
        <v>47</v>
      </c>
      <c r="BC50" s="11">
        <v>1.12</v>
      </c>
    </row>
    <row r="51" spans="2:55" ht="12.75">
      <c r="B51" s="13"/>
      <c r="C51" s="13"/>
      <c r="N51" s="13"/>
      <c r="O51" s="13"/>
      <c r="Q51" s="7" t="str">
        <f>"Fb "&amp;TEXT(Fbmod,"0.00")&amp;" Hz"</f>
        <v>Fb 50.00 Hz</v>
      </c>
      <c r="AW51" s="7">
        <f t="shared" si="78"/>
        <v>0.47265625</v>
      </c>
      <c r="AX51" s="7">
        <f t="shared" si="75"/>
        <v>0.2234039306640625</v>
      </c>
      <c r="AY51" s="7">
        <f t="shared" si="76"/>
        <v>-15.690706562849206</v>
      </c>
      <c r="AZ51" s="7">
        <v>33</v>
      </c>
      <c r="BB51" s="11">
        <v>48</v>
      </c>
      <c r="BC51" s="11">
        <v>1.13</v>
      </c>
    </row>
    <row r="52" spans="2:55" ht="12.75">
      <c r="B52" s="13"/>
      <c r="C52" s="13"/>
      <c r="N52" s="13"/>
      <c r="O52" s="13"/>
      <c r="AW52" s="7">
        <f t="shared" si="78"/>
        <v>0.48708767361111105</v>
      </c>
      <c r="AX52" s="7">
        <f t="shared" si="75"/>
        <v>0.23725440178388424</v>
      </c>
      <c r="AY52" s="7">
        <f t="shared" si="76"/>
        <v>-15.205191884647371</v>
      </c>
      <c r="AZ52" s="11">
        <f>AZ51+0.5</f>
        <v>33.5</v>
      </c>
      <c r="BB52" s="11">
        <v>49</v>
      </c>
      <c r="BC52" s="11">
        <v>1.14</v>
      </c>
    </row>
    <row r="53" spans="2:55" ht="12.75">
      <c r="B53" s="13"/>
      <c r="C53" s="13"/>
      <c r="N53" s="13"/>
      <c r="O53" s="13"/>
      <c r="Q53" s="7" t="s">
        <v>39</v>
      </c>
      <c r="R53" s="14">
        <f>IF(Mswitch=1,Vas_i,Vas_i*l_ft3)</f>
        <v>16</v>
      </c>
      <c r="AW53" s="7">
        <f t="shared" si="78"/>
        <v>0.5017361111111112</v>
      </c>
      <c r="AX53" s="7">
        <f t="shared" si="75"/>
        <v>0.25173912519290126</v>
      </c>
      <c r="AY53" s="7">
        <f t="shared" si="76"/>
        <v>-14.72840878596017</v>
      </c>
      <c r="AZ53" s="7">
        <v>34</v>
      </c>
      <c r="BB53" s="11">
        <v>50</v>
      </c>
      <c r="BC53" s="11">
        <v>1.15</v>
      </c>
    </row>
    <row r="54" spans="2:55" ht="12.75">
      <c r="B54" s="13"/>
      <c r="C54" s="13"/>
      <c r="N54" s="13"/>
      <c r="O54" s="13"/>
      <c r="Q54" s="7" t="s">
        <v>48</v>
      </c>
      <c r="R54" s="14">
        <f>IF(Mswitch=1,Xmax_i,Xmax_i*cm_in*10)</f>
        <v>6</v>
      </c>
      <c r="AW54" s="7">
        <f t="shared" si="78"/>
        <v>0.5166015625</v>
      </c>
      <c r="AX54" s="7">
        <f aca="true" t="shared" si="79" ref="AX54:AX69">_Fn2cc^2</f>
        <v>0.2668771743774414</v>
      </c>
      <c r="AY54" s="7">
        <f aca="true" t="shared" si="80" ref="AY54:AY69">10*LOG(_Fn4cc^2/((_Fn4cc-_Cm*_Fn2cc+_Am)^2+_Fn2cc*(_Dm*_Fn2cc-_Bm)^2))</f>
        <v>-14.26028559829226</v>
      </c>
      <c r="AZ54" s="11">
        <f>AZ53+0.5</f>
        <v>34.5</v>
      </c>
      <c r="BB54" s="11">
        <v>51</v>
      </c>
      <c r="BC54" s="11">
        <v>1.16</v>
      </c>
    </row>
    <row r="55" spans="2:55" ht="12.75">
      <c r="B55" s="13"/>
      <c r="C55" s="13"/>
      <c r="N55" s="13"/>
      <c r="O55" s="13"/>
      <c r="Q55" s="7" t="s">
        <v>106</v>
      </c>
      <c r="R55" s="14">
        <f>IF(Mswitch=1,Sdcm2_i,Sdcm2_i*cm2_in2)</f>
        <v>95</v>
      </c>
      <c r="AW55" s="7">
        <f aca="true" t="shared" si="81" ref="AW55:AW70">(Fcc/Fs)^2</f>
        <v>0.5316840277777777</v>
      </c>
      <c r="AX55" s="7">
        <f t="shared" si="79"/>
        <v>0.2826879053940007</v>
      </c>
      <c r="AY55" s="7">
        <f t="shared" si="80"/>
        <v>-13.80076991692598</v>
      </c>
      <c r="AZ55" s="7">
        <v>35</v>
      </c>
      <c r="BB55" s="11">
        <v>52</v>
      </c>
      <c r="BC55" s="11">
        <v>1.17</v>
      </c>
    </row>
    <row r="56" spans="2:55" ht="12.75">
      <c r="B56" s="13"/>
      <c r="C56" s="13"/>
      <c r="N56" s="13"/>
      <c r="O56" s="13"/>
      <c r="Q56" s="7" t="s">
        <v>107</v>
      </c>
      <c r="R56" s="14">
        <f>IF(Mswitch=1,Dv_i,Dv_i*cm_in)</f>
        <v>4</v>
      </c>
      <c r="AW56" s="7">
        <f t="shared" si="81"/>
        <v>0.5469835069444445</v>
      </c>
      <c r="AX56" s="7">
        <f t="shared" si="79"/>
        <v>0.2991909568692432</v>
      </c>
      <c r="AY56" s="7">
        <f t="shared" si="80"/>
        <v>-13.349827860569984</v>
      </c>
      <c r="AZ56" s="11">
        <f>AZ55+0.5</f>
        <v>35.5</v>
      </c>
      <c r="BB56" s="11">
        <v>53</v>
      </c>
      <c r="BC56" s="11">
        <v>1.18</v>
      </c>
    </row>
    <row r="57" spans="2:55" ht="12.75">
      <c r="B57" s="13"/>
      <c r="C57" s="13"/>
      <c r="N57" s="13"/>
      <c r="O57" s="13"/>
      <c r="Q57" s="7" t="s">
        <v>108</v>
      </c>
      <c r="R57" s="7">
        <f>100*(20.3*(Vd^2/Fbmod)^0.25)/Np^0.5</f>
        <v>5.763561938102576</v>
      </c>
      <c r="AW57" s="7">
        <f t="shared" si="81"/>
        <v>0.5625</v>
      </c>
      <c r="AX57" s="7">
        <f t="shared" si="79"/>
        <v>0.31640625</v>
      </c>
      <c r="AY57" s="7">
        <f t="shared" si="80"/>
        <v>-12.907443262852853</v>
      </c>
      <c r="AZ57" s="7">
        <v>36</v>
      </c>
      <c r="BB57" s="11">
        <v>54</v>
      </c>
      <c r="BC57" s="11">
        <v>1.19</v>
      </c>
    </row>
    <row r="58" spans="2:55" ht="12.75">
      <c r="B58" s="13"/>
      <c r="C58" s="13"/>
      <c r="N58" s="13"/>
      <c r="O58" s="13"/>
      <c r="Q58" s="7" t="s">
        <v>42</v>
      </c>
      <c r="R58" s="7">
        <f>20*Qts^3.3*Vas</f>
        <v>9.88908476183615</v>
      </c>
      <c r="AW58" s="7">
        <f t="shared" si="81"/>
        <v>0.5782335069444444</v>
      </c>
      <c r="AX58" s="7">
        <f t="shared" si="79"/>
        <v>0.33435398855327086</v>
      </c>
      <c r="AY58" s="7">
        <f t="shared" si="80"/>
        <v>-12.473616779716622</v>
      </c>
      <c r="AZ58" s="11">
        <f>AZ57+0.5</f>
        <v>36.5</v>
      </c>
      <c r="BB58" s="11">
        <v>55</v>
      </c>
      <c r="BC58" s="11">
        <v>1.2</v>
      </c>
    </row>
    <row r="59" spans="2:55" ht="12.75">
      <c r="B59" s="13"/>
      <c r="C59" s="13"/>
      <c r="N59" s="13"/>
      <c r="O59" s="13"/>
      <c r="Q59" s="7" t="s">
        <v>109</v>
      </c>
      <c r="R59" s="7">
        <f>(23562.5*Dv^2*Np/(Fb^2*Vb))-(k*Dv)</f>
        <v>9.350495869091993</v>
      </c>
      <c r="AW59" s="7">
        <f t="shared" si="81"/>
        <v>0.5941840277777778</v>
      </c>
      <c r="AX59" s="7">
        <f t="shared" si="79"/>
        <v>0.353054658866223</v>
      </c>
      <c r="AY59" s="7">
        <f t="shared" si="80"/>
        <v>-12.048364897454498</v>
      </c>
      <c r="AZ59" s="7">
        <v>37</v>
      </c>
      <c r="BB59" s="11">
        <v>56</v>
      </c>
      <c r="BC59" s="11">
        <v>1.21</v>
      </c>
    </row>
    <row r="60" spans="2:55" ht="12.75">
      <c r="B60" s="13"/>
      <c r="C60" s="13"/>
      <c r="N60" s="13"/>
      <c r="O60" s="13"/>
      <c r="Q60" s="7" t="s">
        <v>110</v>
      </c>
      <c r="R60" s="14">
        <f>IF(Mswitch=1,Vbmod_i,Vbmod_i*l_ft3)</f>
        <v>12</v>
      </c>
      <c r="AW60" s="7">
        <f t="shared" si="81"/>
        <v>0.6103515625</v>
      </c>
      <c r="AX60" s="7">
        <f t="shared" si="79"/>
        <v>0.3725290298461914</v>
      </c>
      <c r="AY60" s="7">
        <f t="shared" si="80"/>
        <v>-11.631718827254723</v>
      </c>
      <c r="AZ60" s="11">
        <f>AZ59+0.5</f>
        <v>37.5</v>
      </c>
      <c r="BB60" s="11">
        <v>57</v>
      </c>
      <c r="BC60" s="11">
        <v>1.22</v>
      </c>
    </row>
    <row r="61" spans="2:55" ht="12.75">
      <c r="B61" s="13"/>
      <c r="C61" s="13"/>
      <c r="N61" s="13"/>
      <c r="O61" s="13"/>
      <c r="Q61" s="7" t="s">
        <v>111</v>
      </c>
      <c r="R61" s="7">
        <f>(23562.5*Dv^2*Np/(Fbmod^2*Vbmod))-(k*Dv)</f>
        <v>9.638666666666666</v>
      </c>
      <c r="AW61" s="7">
        <f t="shared" si="81"/>
        <v>0.626736111111111</v>
      </c>
      <c r="AX61" s="7">
        <f t="shared" si="79"/>
        <v>0.39279815297067894</v>
      </c>
      <c r="AY61" s="7">
        <f t="shared" si="80"/>
        <v>-11.223723273737471</v>
      </c>
      <c r="AZ61" s="7">
        <v>38</v>
      </c>
      <c r="BB61" s="11">
        <v>58</v>
      </c>
      <c r="BC61" s="11">
        <v>1.23</v>
      </c>
    </row>
    <row r="62" spans="2:55" ht="12.75">
      <c r="B62" s="13"/>
      <c r="C62" s="13"/>
      <c r="N62" s="13"/>
      <c r="O62" s="13"/>
      <c r="Q62" s="7" t="s">
        <v>112</v>
      </c>
      <c r="R62" s="7">
        <f>Vas/(((1/Qts)/(1/Qtc))^2-1)</f>
        <v>5.142428117046203</v>
      </c>
      <c r="AW62" s="7">
        <f t="shared" si="81"/>
        <v>0.6433376736111112</v>
      </c>
      <c r="AX62" s="7">
        <f t="shared" si="79"/>
        <v>0.4138833622873566</v>
      </c>
      <c r="AY62" s="7">
        <f t="shared" si="80"/>
        <v>-10.824435067172706</v>
      </c>
      <c r="AZ62" s="11">
        <f>AZ61+0.5</f>
        <v>38.5</v>
      </c>
      <c r="BB62" s="11">
        <v>59</v>
      </c>
      <c r="BC62" s="11">
        <v>1.24</v>
      </c>
    </row>
    <row r="63" spans="2:55" ht="12.75">
      <c r="B63" s="13"/>
      <c r="C63" s="13"/>
      <c r="N63" s="13"/>
      <c r="O63" s="13"/>
      <c r="Q63" s="7" t="s">
        <v>113</v>
      </c>
      <c r="R63" s="14">
        <f>IF(Mswitch=1,Vbmodcl_i,Vbmodcl_i*l_ft3)</f>
        <v>12</v>
      </c>
      <c r="AW63" s="7">
        <f t="shared" si="81"/>
        <v>0.66015625</v>
      </c>
      <c r="AX63" s="7">
        <f t="shared" si="79"/>
        <v>0.4358062744140625</v>
      </c>
      <c r="AY63" s="7">
        <f t="shared" si="80"/>
        <v>-10.433921651897384</v>
      </c>
      <c r="AZ63" s="7">
        <v>39</v>
      </c>
      <c r="BB63" s="11">
        <v>60</v>
      </c>
      <c r="BC63" s="11">
        <v>1.25</v>
      </c>
    </row>
    <row r="64" spans="2:55" ht="12.75">
      <c r="B64" s="13"/>
      <c r="C64" s="13"/>
      <c r="N64" s="13"/>
      <c r="O64" s="13"/>
      <c r="AW64" s="7">
        <f t="shared" si="81"/>
        <v>0.6771918402777777</v>
      </c>
      <c r="AX64" s="7">
        <f t="shared" si="79"/>
        <v>0.45858878853880314</v>
      </c>
      <c r="AY64" s="7">
        <f t="shared" si="80"/>
        <v>-10.052259426942543</v>
      </c>
      <c r="AZ64" s="11">
        <f>AZ63+0.5</f>
        <v>39.5</v>
      </c>
      <c r="BB64" s="11">
        <v>61</v>
      </c>
      <c r="BC64" s="11">
        <v>1.3</v>
      </c>
    </row>
    <row r="65" spans="14:55" ht="12.75">
      <c r="N65" s="13"/>
      <c r="O65" s="13"/>
      <c r="AW65" s="7">
        <f t="shared" si="81"/>
        <v>0.6944444444444445</v>
      </c>
      <c r="AX65" s="7">
        <f t="shared" si="79"/>
        <v>0.48225308641975323</v>
      </c>
      <c r="AY65" s="7">
        <f t="shared" si="80"/>
        <v>-9.679531939034558</v>
      </c>
      <c r="AZ65" s="7">
        <v>40</v>
      </c>
      <c r="BB65" s="11">
        <v>62</v>
      </c>
      <c r="BC65" s="11">
        <v>1.35</v>
      </c>
    </row>
    <row r="66" spans="49:55" ht="12.75">
      <c r="AW66" s="7">
        <f t="shared" si="81"/>
        <v>0.7119140625</v>
      </c>
      <c r="AX66" s="7">
        <f t="shared" si="79"/>
        <v>0.5068216323852539</v>
      </c>
      <c r="AY66" s="7">
        <f t="shared" si="80"/>
        <v>-9.315827932913308</v>
      </c>
      <c r="AZ66" s="11">
        <f>AZ65+0.5</f>
        <v>40.5</v>
      </c>
      <c r="BB66" s="11">
        <v>63</v>
      </c>
      <c r="BC66" s="11">
        <v>1.4</v>
      </c>
    </row>
    <row r="67" spans="49:55" ht="12.75">
      <c r="AW67" s="7">
        <f t="shared" si="81"/>
        <v>0.7296006944444444</v>
      </c>
      <c r="AX67" s="7">
        <f t="shared" si="79"/>
        <v>0.5323171733338156</v>
      </c>
      <c r="AY67" s="7">
        <f t="shared" si="80"/>
        <v>-8.961239269229965</v>
      </c>
      <c r="AZ67" s="7">
        <v>41</v>
      </c>
      <c r="BB67" s="11">
        <v>64</v>
      </c>
      <c r="BC67" s="11">
        <v>1.45</v>
      </c>
    </row>
    <row r="68" spans="49:55" ht="12.75">
      <c r="AW68" s="7">
        <f t="shared" si="81"/>
        <v>0.7475043402777778</v>
      </c>
      <c r="AX68" s="7">
        <f t="shared" si="79"/>
        <v>0.5587627387341159</v>
      </c>
      <c r="AY68" s="7">
        <f t="shared" si="80"/>
        <v>-8.615858726016944</v>
      </c>
      <c r="AZ68" s="11">
        <f>AZ67+0.5</f>
        <v>41.5</v>
      </c>
      <c r="BB68" s="11">
        <v>65</v>
      </c>
      <c r="BC68" s="11">
        <v>1.5</v>
      </c>
    </row>
    <row r="69" spans="49:55" ht="12.75">
      <c r="AW69" s="7">
        <f t="shared" si="81"/>
        <v>0.765625</v>
      </c>
      <c r="AX69" s="7">
        <f t="shared" si="79"/>
        <v>0.586181640625</v>
      </c>
      <c r="AY69" s="7">
        <f t="shared" si="80"/>
        <v>-8.279777705676315</v>
      </c>
      <c r="AZ69" s="7">
        <v>42</v>
      </c>
      <c r="BB69" s="11">
        <v>66</v>
      </c>
      <c r="BC69" s="11">
        <v>1.55</v>
      </c>
    </row>
    <row r="70" spans="49:55" ht="12.75">
      <c r="AW70" s="7">
        <f t="shared" si="81"/>
        <v>0.783962673611111</v>
      </c>
      <c r="AX70" s="7">
        <f aca="true" t="shared" si="82" ref="AX70:AX85">_Fn2cc^2</f>
        <v>0.6145974736154814</v>
      </c>
      <c r="AY70" s="7">
        <f aca="true" t="shared" si="83" ref="AY70:AY85">10*LOG(_Fn4cc^2/((_Fn4cc-_Cm*_Fn2cc+_Am)^2+_Fn2cc*(_Dm*_Fn2cc-_Bm)^2))</f>
        <v>-7.953083875376898</v>
      </c>
      <c r="AZ70" s="11">
        <f>AZ69+0.5</f>
        <v>42.5</v>
      </c>
      <c r="BB70" s="11">
        <v>67</v>
      </c>
      <c r="BC70" s="11">
        <v>1.6</v>
      </c>
    </row>
    <row r="71" spans="49:55" ht="12.75">
      <c r="AW71" s="7">
        <f aca="true" t="shared" si="84" ref="AW71:AW86">(Fcc/Fs)^2</f>
        <v>0.8025173611111112</v>
      </c>
      <c r="AX71" s="7">
        <f t="shared" si="82"/>
        <v>0.6440341148847416</v>
      </c>
      <c r="AY71" s="7">
        <f t="shared" si="83"/>
        <v>-7.6358587744060555</v>
      </c>
      <c r="AZ71" s="7">
        <v>43</v>
      </c>
      <c r="BB71" s="11">
        <v>68</v>
      </c>
      <c r="BC71" s="11">
        <v>1.65</v>
      </c>
    </row>
    <row r="72" spans="49:55" ht="12.75">
      <c r="AW72" s="7">
        <f t="shared" si="84"/>
        <v>0.8212890625</v>
      </c>
      <c r="AX72" s="7">
        <f t="shared" si="82"/>
        <v>0.6745157241821289</v>
      </c>
      <c r="AY72" s="7">
        <f t="shared" si="83"/>
        <v>-7.328175427080247</v>
      </c>
      <c r="AZ72" s="11">
        <f>AZ71+0.5</f>
        <v>43.5</v>
      </c>
      <c r="BB72" s="11">
        <v>69</v>
      </c>
      <c r="BC72" s="11">
        <v>1.7</v>
      </c>
    </row>
    <row r="73" spans="49:55" ht="12.75">
      <c r="AW73" s="7">
        <f t="shared" si="84"/>
        <v>0.8402777777777777</v>
      </c>
      <c r="AX73" s="7">
        <f t="shared" si="82"/>
        <v>0.7060667438271603</v>
      </c>
      <c r="AY73" s="7">
        <f t="shared" si="83"/>
        <v>-7.030096003956246</v>
      </c>
      <c r="AZ73" s="7">
        <v>44</v>
      </c>
      <c r="BB73" s="11">
        <v>70</v>
      </c>
      <c r="BC73" s="11">
        <v>1.75</v>
      </c>
    </row>
    <row r="74" spans="49:55" ht="12.75">
      <c r="AW74" s="7">
        <f t="shared" si="84"/>
        <v>0.8594835069444445</v>
      </c>
      <c r="AX74" s="7">
        <f t="shared" si="82"/>
        <v>0.738711898709521</v>
      </c>
      <c r="AY74" s="7">
        <f t="shared" si="83"/>
        <v>-6.741669576987578</v>
      </c>
      <c r="AZ74" s="11">
        <f>AZ73+0.5</f>
        <v>44.5</v>
      </c>
      <c r="BB74" s="11">
        <v>71</v>
      </c>
      <c r="BC74" s="11">
        <v>1.8</v>
      </c>
    </row>
    <row r="75" spans="49:55" ht="12.75">
      <c r="AW75" s="7">
        <f t="shared" si="84"/>
        <v>0.87890625</v>
      </c>
      <c r="AX75" s="7">
        <f t="shared" si="82"/>
        <v>0.7724761962890625</v>
      </c>
      <c r="AY75" s="7">
        <f t="shared" si="83"/>
        <v>-6.462930015656361</v>
      </c>
      <c r="AZ75" s="7">
        <v>45</v>
      </c>
      <c r="BB75" s="11">
        <v>72</v>
      </c>
      <c r="BC75" s="11">
        <v>1.85</v>
      </c>
    </row>
    <row r="76" spans="49:55" ht="12.75">
      <c r="AW76" s="7">
        <f t="shared" si="84"/>
        <v>0.8985460069444444</v>
      </c>
      <c r="AX76" s="7">
        <f t="shared" si="82"/>
        <v>0.8073849265958055</v>
      </c>
      <c r="AY76" s="7">
        <f t="shared" si="83"/>
        <v>-6.19389407075782</v>
      </c>
      <c r="AZ76" s="11">
        <f>AZ75+0.5</f>
        <v>45.5</v>
      </c>
      <c r="BB76" s="11">
        <v>73</v>
      </c>
      <c r="BC76" s="11">
        <v>1.9</v>
      </c>
    </row>
    <row r="77" spans="5:55" ht="12.75">
      <c r="E77" s="7"/>
      <c r="F77" s="7"/>
      <c r="G77" s="7"/>
      <c r="H77" s="7"/>
      <c r="I77" s="7"/>
      <c r="J77" s="7"/>
      <c r="K77" s="7"/>
      <c r="AW77" s="7">
        <f t="shared" si="84"/>
        <v>0.9184027777777779</v>
      </c>
      <c r="AX77" s="7">
        <f t="shared" si="82"/>
        <v>0.8434636622299385</v>
      </c>
      <c r="AY77" s="7">
        <f t="shared" si="83"/>
        <v>-5.934559690285367</v>
      </c>
      <c r="AZ77" s="7">
        <v>46</v>
      </c>
      <c r="BB77" s="11">
        <v>74</v>
      </c>
      <c r="BC77" s="11">
        <v>1.95</v>
      </c>
    </row>
    <row r="78" spans="5:55" ht="12.75">
      <c r="E78" s="7"/>
      <c r="F78" s="7"/>
      <c r="G78" s="7"/>
      <c r="H78" s="7"/>
      <c r="I78" s="7"/>
      <c r="J78" s="7"/>
      <c r="K78" s="7"/>
      <c r="AW78" s="7">
        <f t="shared" si="84"/>
        <v>0.9384765625</v>
      </c>
      <c r="AX78" s="7">
        <f t="shared" si="82"/>
        <v>0.8807382583618164</v>
      </c>
      <c r="AY78" s="7">
        <f t="shared" si="83"/>
        <v>-5.68490460772408</v>
      </c>
      <c r="AZ78" s="11">
        <f>AZ77+0.5</f>
        <v>46.5</v>
      </c>
      <c r="BB78" s="11">
        <v>75</v>
      </c>
      <c r="BC78" s="11">
        <v>2</v>
      </c>
    </row>
    <row r="79" spans="5:52" ht="12.75">
      <c r="E79" s="7"/>
      <c r="F79" s="7"/>
      <c r="G79" s="7"/>
      <c r="H79" s="7"/>
      <c r="I79" s="7"/>
      <c r="J79" s="7"/>
      <c r="K79" s="7"/>
      <c r="AW79" s="7">
        <f t="shared" si="84"/>
        <v>0.958767361111111</v>
      </c>
      <c r="AX79" s="7">
        <f t="shared" si="82"/>
        <v>0.9192348527319636</v>
      </c>
      <c r="AY79" s="7">
        <f t="shared" si="83"/>
        <v>-5.444885237093495</v>
      </c>
      <c r="AZ79" s="7">
        <v>47</v>
      </c>
    </row>
    <row r="80" spans="5:52" ht="12.75">
      <c r="E80" s="7"/>
      <c r="F80" s="7"/>
      <c r="G80" s="7"/>
      <c r="H80" s="7"/>
      <c r="I80" s="7"/>
      <c r="J80" s="7"/>
      <c r="K80" s="7"/>
      <c r="AW80" s="7">
        <f t="shared" si="84"/>
        <v>0.9792751736111112</v>
      </c>
      <c r="AX80" s="7">
        <f t="shared" si="82"/>
        <v>0.9589798656510718</v>
      </c>
      <c r="AY80" s="7">
        <f t="shared" si="83"/>
        <v>-5.214435901489752</v>
      </c>
      <c r="AZ80" s="11">
        <f>AZ79+0.5</f>
        <v>47.5</v>
      </c>
    </row>
    <row r="81" spans="5:52" ht="12.75">
      <c r="E81" s="7"/>
      <c r="F81" s="7"/>
      <c r="G81" s="7"/>
      <c r="H81" s="7"/>
      <c r="I81" s="7"/>
      <c r="J81" s="7"/>
      <c r="K81" s="7"/>
      <c r="AW81" s="7">
        <f t="shared" si="84"/>
        <v>1</v>
      </c>
      <c r="AX81" s="7">
        <f t="shared" si="82"/>
        <v>1</v>
      </c>
      <c r="AY81" s="7">
        <f t="shared" si="83"/>
        <v>-4.993468412978066</v>
      </c>
      <c r="AZ81" s="7">
        <v>48</v>
      </c>
    </row>
    <row r="82" spans="1:52" ht="12.75">
      <c r="A82" s="7"/>
      <c r="B82" s="8"/>
      <c r="C82" s="8"/>
      <c r="E82" s="7"/>
      <c r="F82" s="7"/>
      <c r="G82" s="7"/>
      <c r="H82" s="7"/>
      <c r="I82" s="7"/>
      <c r="J82" s="7"/>
      <c r="K82" s="7"/>
      <c r="AW82" s="7">
        <f t="shared" si="84"/>
        <v>1.020941840277778</v>
      </c>
      <c r="AX82" s="7">
        <f t="shared" si="82"/>
        <v>1.0423222412297757</v>
      </c>
      <c r="AY82" s="7">
        <f t="shared" si="83"/>
        <v>-4.781872011889176</v>
      </c>
      <c r="AZ82" s="11">
        <f>AZ81+0.5</f>
        <v>48.5</v>
      </c>
    </row>
    <row r="83" spans="1:52" ht="12.75">
      <c r="A83" s="7"/>
      <c r="B83" s="8"/>
      <c r="C83" s="8"/>
      <c r="E83" s="7"/>
      <c r="F83" s="7"/>
      <c r="G83" s="7"/>
      <c r="H83" s="7"/>
      <c r="I83" s="7"/>
      <c r="J83" s="7"/>
      <c r="K83" s="7"/>
      <c r="AW83" s="7">
        <f t="shared" si="84"/>
        <v>1.0421006944444442</v>
      </c>
      <c r="AX83" s="7">
        <f t="shared" si="82"/>
        <v>1.085973857361593</v>
      </c>
      <c r="AY83" s="7">
        <f t="shared" si="83"/>
        <v>-4.579513663354275</v>
      </c>
      <c r="AZ83" s="7">
        <v>49</v>
      </c>
    </row>
    <row r="84" spans="2:52" ht="12.75">
      <c r="B84" s="8"/>
      <c r="C84" s="8"/>
      <c r="D84" s="7"/>
      <c r="E84" s="7"/>
      <c r="F84" s="7"/>
      <c r="G84" s="7"/>
      <c r="H84" s="7"/>
      <c r="I84" s="7"/>
      <c r="J84" s="7"/>
      <c r="K84" s="7"/>
      <c r="AW84" s="7">
        <f t="shared" si="84"/>
        <v>1.0634765625</v>
      </c>
      <c r="AX84" s="7">
        <f t="shared" si="82"/>
        <v>1.1309823989868164</v>
      </c>
      <c r="AY84" s="7">
        <f t="shared" si="83"/>
        <v>-4.386238698778747</v>
      </c>
      <c r="AZ84" s="11">
        <f>AZ83+0.5</f>
        <v>49.5</v>
      </c>
    </row>
    <row r="85" spans="2:52" ht="12.75">
      <c r="B85" s="8"/>
      <c r="C85" s="8"/>
      <c r="D85" s="7"/>
      <c r="E85" s="7"/>
      <c r="F85" s="7"/>
      <c r="G85" s="7"/>
      <c r="H85" s="7"/>
      <c r="I85" s="7"/>
      <c r="J85" s="7"/>
      <c r="K85" s="7"/>
      <c r="N85" s="8"/>
      <c r="O85" s="8"/>
      <c r="AW85" s="7">
        <f t="shared" si="84"/>
        <v>1.0850694444444446</v>
      </c>
      <c r="AX85" s="7">
        <f t="shared" si="82"/>
        <v>1.1773756992669757</v>
      </c>
      <c r="AY85" s="7">
        <f t="shared" si="83"/>
        <v>-4.2018717804077035</v>
      </c>
      <c r="AZ85" s="7">
        <v>50</v>
      </c>
    </row>
    <row r="86" spans="2:52" ht="12.75">
      <c r="B86" s="10"/>
      <c r="C86" s="8"/>
      <c r="D86" s="7"/>
      <c r="E86" s="7"/>
      <c r="F86" s="7"/>
      <c r="G86" s="7"/>
      <c r="H86" s="7"/>
      <c r="I86" s="7"/>
      <c r="J86" s="7"/>
      <c r="K86" s="7"/>
      <c r="M86" s="7"/>
      <c r="N86" s="10"/>
      <c r="O86" s="8"/>
      <c r="AW86" s="7">
        <f t="shared" si="84"/>
        <v>1.1068793402777777</v>
      </c>
      <c r="AX86" s="7">
        <f aca="true" t="shared" si="85" ref="AX86:AX101">_Fn2cc^2</f>
        <v>1.2251818739337683</v>
      </c>
      <c r="AY86" s="7">
        <f aca="true" t="shared" si="86" ref="AY86:AY101">10*LOG(_Fn4cc^2/((_Fn4cc-_Cm*_Fn2cc+_Am)^2+_Fn2cc*(_Dm*_Fn2cc-_Bm)^2))</f>
        <v>-4.0262181586318295</v>
      </c>
      <c r="AZ86" s="11">
        <f>AZ85+0.5</f>
        <v>50.5</v>
      </c>
    </row>
    <row r="87" spans="2:52" ht="12.75">
      <c r="B87" s="8"/>
      <c r="C87" s="7"/>
      <c r="D87" s="7"/>
      <c r="E87" s="7"/>
      <c r="F87" s="7"/>
      <c r="G87" s="7"/>
      <c r="H87" s="7"/>
      <c r="I87" s="7"/>
      <c r="J87" s="7"/>
      <c r="K87" s="7"/>
      <c r="M87" s="7"/>
      <c r="N87" s="8"/>
      <c r="O87" s="7"/>
      <c r="AW87" s="7">
        <f aca="true" t="shared" si="87" ref="AW87:AW102">(Fcc/Fs)^2</f>
        <v>1.12890625</v>
      </c>
      <c r="AX87" s="7">
        <f t="shared" si="85"/>
        <v>1.2744293212890625</v>
      </c>
      <c r="AY87" s="7">
        <f t="shared" si="86"/>
        <v>-3.8590651846013606</v>
      </c>
      <c r="AZ87" s="7">
        <v>51</v>
      </c>
    </row>
    <row r="88" spans="2:52" ht="12.75">
      <c r="B88" s="8"/>
      <c r="C88" s="7"/>
      <c r="D88" s="7"/>
      <c r="E88" s="7"/>
      <c r="F88" s="7"/>
      <c r="G88" s="7"/>
      <c r="H88" s="7"/>
      <c r="I88" s="7"/>
      <c r="J88" s="7"/>
      <c r="K88" s="7"/>
      <c r="M88" s="7"/>
      <c r="N88" s="8"/>
      <c r="O88" s="7"/>
      <c r="AW88" s="7">
        <f t="shared" si="87"/>
        <v>1.1511501736111112</v>
      </c>
      <c r="AX88" s="7">
        <f t="shared" si="85"/>
        <v>1.3251467222048914</v>
      </c>
      <c r="AY88" s="7">
        <f t="shared" si="86"/>
        <v>-3.7001840353370574</v>
      </c>
      <c r="AZ88" s="11">
        <f>AZ87+0.5</f>
        <v>51.5</v>
      </c>
    </row>
    <row r="89" spans="1:52" ht="12.75">
      <c r="A89" s="7"/>
      <c r="B89" s="7"/>
      <c r="C89" s="9"/>
      <c r="D89" s="7"/>
      <c r="E89" s="7"/>
      <c r="F89" s="7"/>
      <c r="G89" s="7"/>
      <c r="H89" s="7"/>
      <c r="I89" s="7"/>
      <c r="J89" s="7"/>
      <c r="K89" s="7"/>
      <c r="M89" s="7"/>
      <c r="N89" s="7"/>
      <c r="O89" s="9"/>
      <c r="AW89" s="7">
        <f t="shared" si="87"/>
        <v>1.173611111111111</v>
      </c>
      <c r="AX89" s="7">
        <f t="shared" si="85"/>
        <v>1.3773630401234565</v>
      </c>
      <c r="AY89" s="7">
        <f t="shared" si="86"/>
        <v>-3.549331605011854</v>
      </c>
      <c r="AZ89" s="7">
        <v>52</v>
      </c>
    </row>
    <row r="90" spans="3:52" ht="12.75">
      <c r="C90" s="7"/>
      <c r="D90" s="7"/>
      <c r="E90" s="7"/>
      <c r="F90" s="7"/>
      <c r="G90" s="7"/>
      <c r="H90" s="7"/>
      <c r="I90" s="7"/>
      <c r="J90" s="7"/>
      <c r="K90" s="7"/>
      <c r="M90" s="7"/>
      <c r="N90" s="7"/>
      <c r="O90" s="7"/>
      <c r="AW90" s="7">
        <f t="shared" si="87"/>
        <v>1.1962890625</v>
      </c>
      <c r="AX90" s="7">
        <f t="shared" si="85"/>
        <v>1.431107521057129</v>
      </c>
      <c r="AY90" s="7">
        <f t="shared" si="86"/>
        <v>-3.4062525144681155</v>
      </c>
      <c r="AZ90" s="11">
        <f>AZ89+0.5</f>
        <v>52.5</v>
      </c>
    </row>
    <row r="91" spans="3:52" ht="12.75">
      <c r="C91" s="7"/>
      <c r="D91" s="7"/>
      <c r="E91" s="7"/>
      <c r="F91" s="7"/>
      <c r="G91" s="7"/>
      <c r="H91" s="7"/>
      <c r="I91" s="7"/>
      <c r="J91" s="7"/>
      <c r="K91" s="7"/>
      <c r="M91" s="7"/>
      <c r="N91" s="7"/>
      <c r="O91" s="7"/>
      <c r="AW91" s="7">
        <f t="shared" si="87"/>
        <v>1.219184027777778</v>
      </c>
      <c r="AX91" s="7">
        <f t="shared" si="85"/>
        <v>1.4864096935884454</v>
      </c>
      <c r="AY91" s="7">
        <f t="shared" si="86"/>
        <v>-3.270681191260047</v>
      </c>
      <c r="AZ91" s="7">
        <v>53</v>
      </c>
    </row>
    <row r="92" spans="3:52" ht="12.75">
      <c r="C92" s="7"/>
      <c r="D92" s="7"/>
      <c r="E92" s="7"/>
      <c r="F92" s="7"/>
      <c r="G92" s="7"/>
      <c r="H92" s="7"/>
      <c r="I92" s="7"/>
      <c r="J92" s="7"/>
      <c r="K92" s="7"/>
      <c r="M92" s="7"/>
      <c r="N92" s="7"/>
      <c r="O92" s="7"/>
      <c r="AW92" s="7">
        <f t="shared" si="87"/>
        <v>1.2422960069444442</v>
      </c>
      <c r="AX92" s="7">
        <f t="shared" si="85"/>
        <v>1.5432993688701107</v>
      </c>
      <c r="AY92" s="7">
        <f t="shared" si="86"/>
        <v>-3.1423439744003216</v>
      </c>
      <c r="AZ92" s="11">
        <f>AZ91+0.5</f>
        <v>53.5</v>
      </c>
    </row>
    <row r="93" spans="1:52" ht="12.75">
      <c r="A93" s="7"/>
      <c r="B93" s="7"/>
      <c r="C93" s="7"/>
      <c r="D93" s="7"/>
      <c r="E93" s="7"/>
      <c r="F93" s="7"/>
      <c r="G93" s="7"/>
      <c r="H93" s="7"/>
      <c r="I93" s="7"/>
      <c r="J93" s="7"/>
      <c r="K93" s="7"/>
      <c r="M93" s="7"/>
      <c r="N93" s="7"/>
      <c r="O93" s="7"/>
      <c r="AW93" s="7">
        <f t="shared" si="87"/>
        <v>1.265625</v>
      </c>
      <c r="AX93" s="7">
        <f t="shared" si="85"/>
        <v>1.601806640625</v>
      </c>
      <c r="AY93" s="7">
        <f t="shared" si="86"/>
        <v>-3.0209612012979177</v>
      </c>
      <c r="AZ93" s="7">
        <v>54</v>
      </c>
    </row>
    <row r="94" spans="1:52" ht="12.75">
      <c r="A94" s="7"/>
      <c r="B94" s="7"/>
      <c r="C94" s="7"/>
      <c r="D94" s="7"/>
      <c r="G94" s="7"/>
      <c r="H94" s="7"/>
      <c r="K94" s="7"/>
      <c r="M94" s="7"/>
      <c r="N94" s="7"/>
      <c r="O94" s="7"/>
      <c r="AW94" s="7">
        <f t="shared" si="87"/>
        <v>1.2891710069444446</v>
      </c>
      <c r="AX94" s="7">
        <f t="shared" si="85"/>
        <v>1.6619618851461533</v>
      </c>
      <c r="AY94" s="7">
        <f t="shared" si="86"/>
        <v>-2.906249238804039</v>
      </c>
      <c r="AZ94" s="11">
        <f>AZ93+0.5</f>
        <v>54.5</v>
      </c>
    </row>
    <row r="95" spans="1:52" ht="12.75">
      <c r="A95" s="7"/>
      <c r="B95" s="7"/>
      <c r="C95" s="7"/>
      <c r="D95" s="7"/>
      <c r="G95" s="7"/>
      <c r="H95" s="7"/>
      <c r="K95" s="7"/>
      <c r="M95" s="7"/>
      <c r="N95" s="7"/>
      <c r="O95" s="7"/>
      <c r="AW95" s="7">
        <f t="shared" si="87"/>
        <v>1.3129340277777777</v>
      </c>
      <c r="AX95" s="7">
        <f t="shared" si="85"/>
        <v>1.7237957612967783</v>
      </c>
      <c r="AY95" s="7">
        <f t="shared" si="86"/>
        <v>-2.797922425514197</v>
      </c>
      <c r="AZ95" s="7">
        <v>55</v>
      </c>
    </row>
    <row r="96" spans="1:52" ht="12.75">
      <c r="A96" s="7"/>
      <c r="B96" s="7"/>
      <c r="C96" s="7"/>
      <c r="D96" s="7"/>
      <c r="E96" s="7"/>
      <c r="F96" s="7"/>
      <c r="G96" s="7"/>
      <c r="H96" s="7"/>
      <c r="K96" s="7"/>
      <c r="M96" s="7"/>
      <c r="N96" s="7"/>
      <c r="O96" s="7"/>
      <c r="AW96" s="7">
        <f t="shared" si="87"/>
        <v>1.3369140625</v>
      </c>
      <c r="AX96" s="7">
        <f t="shared" si="85"/>
        <v>1.787339210510254</v>
      </c>
      <c r="AY96" s="7">
        <f t="shared" si="86"/>
        <v>-2.695694898185414</v>
      </c>
      <c r="AZ96" s="11">
        <f>AZ95+0.5</f>
        <v>55.5</v>
      </c>
    </row>
    <row r="97" spans="1:52" ht="12.75">
      <c r="A97" s="7"/>
      <c r="B97" s="7"/>
      <c r="C97" s="7"/>
      <c r="D97" s="7"/>
      <c r="E97" s="7"/>
      <c r="F97" s="7"/>
      <c r="G97" s="7"/>
      <c r="H97" s="7"/>
      <c r="K97" s="7"/>
      <c r="M97" s="7"/>
      <c r="N97" s="7"/>
      <c r="O97" s="7"/>
      <c r="AW97" s="7">
        <f t="shared" si="87"/>
        <v>1.3611111111111114</v>
      </c>
      <c r="AX97" s="7">
        <f t="shared" si="85"/>
        <v>1.8526234567901243</v>
      </c>
      <c r="AY97" s="7">
        <f t="shared" si="86"/>
        <v>-2.59928228101717</v>
      </c>
      <c r="AZ97" s="7">
        <v>56</v>
      </c>
    </row>
    <row r="98" spans="1:52" ht="12.75">
      <c r="A98" s="7"/>
      <c r="B98" s="7"/>
      <c r="C98" s="7"/>
      <c r="D98" s="7"/>
      <c r="E98" s="7"/>
      <c r="F98" s="7"/>
      <c r="G98" s="7"/>
      <c r="H98" s="7"/>
      <c r="K98" s="7"/>
      <c r="M98" s="7"/>
      <c r="N98" s="7"/>
      <c r="O98" s="7"/>
      <c r="AW98" s="7">
        <f t="shared" si="87"/>
        <v>1.385525173611111</v>
      </c>
      <c r="AX98" s="7">
        <f t="shared" si="85"/>
        <v>1.9196800067100992</v>
      </c>
      <c r="AY98" s="7">
        <f t="shared" si="86"/>
        <v>-2.508403222347794</v>
      </c>
      <c r="AZ98" s="11">
        <f>AZ97+0.5</f>
        <v>56.5</v>
      </c>
    </row>
    <row r="99" spans="1:52" ht="12.75">
      <c r="A99" s="7"/>
      <c r="B99" s="7"/>
      <c r="C99" s="7"/>
      <c r="D99" s="7"/>
      <c r="E99" s="7"/>
      <c r="F99" s="7"/>
      <c r="G99" s="7"/>
      <c r="H99" s="7"/>
      <c r="K99" s="7"/>
      <c r="M99" s="7"/>
      <c r="N99" s="7"/>
      <c r="O99" s="7"/>
      <c r="AW99" s="7">
        <f t="shared" si="87"/>
        <v>1.41015625</v>
      </c>
      <c r="AX99" s="7">
        <f t="shared" si="85"/>
        <v>1.9885406494140625</v>
      </c>
      <c r="AY99" s="7">
        <f t="shared" si="86"/>
        <v>-2.4227807688155054</v>
      </c>
      <c r="AZ99" s="7">
        <v>57</v>
      </c>
    </row>
    <row r="100" spans="1:52" ht="12.75">
      <c r="A100" s="7"/>
      <c r="B100" s="7"/>
      <c r="C100" s="7"/>
      <c r="D100" s="7"/>
      <c r="E100" s="7"/>
      <c r="F100" s="7"/>
      <c r="G100" s="7"/>
      <c r="H100" s="7"/>
      <c r="K100" s="7"/>
      <c r="M100" s="7"/>
      <c r="N100" s="7"/>
      <c r="O100" s="7"/>
      <c r="AW100" s="7">
        <f t="shared" si="87"/>
        <v>1.435004340277778</v>
      </c>
      <c r="AX100" s="7">
        <f t="shared" si="85"/>
        <v>2.0592374566160605</v>
      </c>
      <c r="AY100" s="7">
        <f t="shared" si="86"/>
        <v>-2.3421435720569357</v>
      </c>
      <c r="AZ100" s="11">
        <f>AZ99+0.5</f>
        <v>57.5</v>
      </c>
    </row>
    <row r="101" spans="1:52" ht="12.75">
      <c r="A101" s="7"/>
      <c r="B101" s="7"/>
      <c r="C101" s="7"/>
      <c r="D101" s="7"/>
      <c r="E101" s="7"/>
      <c r="F101" s="8"/>
      <c r="G101" s="7"/>
      <c r="H101" s="7"/>
      <c r="I101" s="7"/>
      <c r="J101" s="7"/>
      <c r="K101" s="7"/>
      <c r="M101" s="7"/>
      <c r="N101" s="7"/>
      <c r="O101" s="7"/>
      <c r="AW101" s="7">
        <f t="shared" si="87"/>
        <v>1.4600694444444442</v>
      </c>
      <c r="AX101" s="7">
        <f t="shared" si="85"/>
        <v>2.131802782600308</v>
      </c>
      <c r="AY101" s="7">
        <f t="shared" si="86"/>
        <v>-2.2662269274490905</v>
      </c>
      <c r="AZ101" s="7">
        <v>58</v>
      </c>
    </row>
    <row r="102" spans="4:52" ht="12.75">
      <c r="D102" s="7"/>
      <c r="E102" s="7"/>
      <c r="F102" s="8"/>
      <c r="G102" s="8"/>
      <c r="H102" s="7"/>
      <c r="I102" s="7"/>
      <c r="J102" s="7"/>
      <c r="K102" s="7"/>
      <c r="AW102" s="7">
        <f t="shared" si="87"/>
        <v>1.4853515625</v>
      </c>
      <c r="AX102" s="7">
        <f aca="true" t="shared" si="88" ref="AX102:AX117">_Fn2cc^2</f>
        <v>2.2062692642211914</v>
      </c>
      <c r="AY102" s="7">
        <f aca="true" t="shared" si="89" ref="AY102:AY117">10*LOG(_Fn4cc^2/((_Fn4cc-_Cm*_Fn2cc+_Am)^2+_Fn2cc*(_Dm*_Fn2cc-_Bm)^2))</f>
        <v>-2.194773648175664</v>
      </c>
      <c r="AZ102" s="11">
        <f>AZ101+0.5</f>
        <v>58.5</v>
      </c>
    </row>
    <row r="103" spans="7:52" ht="12.75">
      <c r="G103" s="13"/>
      <c r="J103" s="13"/>
      <c r="AW103" s="7">
        <f aca="true" t="shared" si="90" ref="AW103:AW118">(Fcc/Fs)^2</f>
        <v>1.5108506944444446</v>
      </c>
      <c r="AX103" s="7">
        <f t="shared" si="88"/>
        <v>2.2826698209032608</v>
      </c>
      <c r="AY103" s="7">
        <f t="shared" si="89"/>
        <v>-2.12753478098921</v>
      </c>
      <c r="AZ103" s="7">
        <v>59</v>
      </c>
    </row>
    <row r="104" spans="49:52" ht="12.75">
      <c r="AW104" s="7">
        <f t="shared" si="90"/>
        <v>1.5365668402777777</v>
      </c>
      <c r="AX104" s="7">
        <f t="shared" si="88"/>
        <v>2.3610376546412337</v>
      </c>
      <c r="AY104" s="7">
        <f t="shared" si="89"/>
        <v>-2.0642701724576082</v>
      </c>
      <c r="AZ104" s="11">
        <f>AZ103+0.5</f>
        <v>59.5</v>
      </c>
    </row>
    <row r="105" spans="6:52" ht="12.75">
      <c r="F105" s="13"/>
      <c r="AW105" s="7">
        <f t="shared" si="90"/>
        <v>1.5625</v>
      </c>
      <c r="AX105" s="7">
        <f t="shared" si="88"/>
        <v>2.44140625</v>
      </c>
      <c r="AY105" s="7">
        <f t="shared" si="89"/>
        <v>-2.004748896262933</v>
      </c>
      <c r="AZ105" s="7">
        <v>60</v>
      </c>
    </row>
    <row r="106" spans="7:52" ht="12.75">
      <c r="G106" s="13"/>
      <c r="AW106" s="7">
        <f t="shared" si="90"/>
        <v>1.5886501736111114</v>
      </c>
      <c r="AX106" s="7">
        <f t="shared" si="88"/>
        <v>2.5238093741146144</v>
      </c>
      <c r="AY106" s="7">
        <f t="shared" si="89"/>
        <v>-1.9487495533211536</v>
      </c>
      <c r="AZ106" s="11">
        <f>AZ105+0.5</f>
        <v>60.5</v>
      </c>
    </row>
    <row r="107" spans="49:52" ht="12.75">
      <c r="AW107" s="7">
        <f t="shared" si="90"/>
        <v>1.615017361111111</v>
      </c>
      <c r="AX107" s="7">
        <f t="shared" si="88"/>
        <v>2.6082810766902966</v>
      </c>
      <c r="AY107" s="7">
        <f t="shared" si="89"/>
        <v>-1.8960604571805058</v>
      </c>
      <c r="AZ107" s="7">
        <v>61</v>
      </c>
    </row>
    <row r="108" spans="49:52" ht="12.75">
      <c r="AW108" s="7">
        <f t="shared" si="90"/>
        <v>1.6416015625</v>
      </c>
      <c r="AX108" s="7">
        <f t="shared" si="88"/>
        <v>2.6948556900024414</v>
      </c>
      <c r="AY108" s="7">
        <f t="shared" si="89"/>
        <v>-1.8464797174110164</v>
      </c>
      <c r="AZ108" s="11">
        <f>AZ107+0.5</f>
        <v>61.5</v>
      </c>
    </row>
    <row r="109" spans="2:52" ht="12.75">
      <c r="B109" s="13"/>
      <c r="C109" s="13"/>
      <c r="N109" s="13"/>
      <c r="O109" s="13"/>
      <c r="AW109" s="7">
        <f t="shared" si="90"/>
        <v>1.668402777777778</v>
      </c>
      <c r="AX109" s="7">
        <f t="shared" si="88"/>
        <v>2.7835678288966053</v>
      </c>
      <c r="AY109" s="7">
        <f t="shared" si="89"/>
        <v>-1.7998152335939943</v>
      </c>
      <c r="AZ109" s="7">
        <v>62</v>
      </c>
    </row>
    <row r="110" spans="2:52" ht="12.75">
      <c r="B110" s="13"/>
      <c r="C110" s="13"/>
      <c r="N110" s="13"/>
      <c r="O110" s="13"/>
      <c r="AW110" s="7">
        <f t="shared" si="90"/>
        <v>1.6954210069444442</v>
      </c>
      <c r="AX110" s="7">
        <f t="shared" si="88"/>
        <v>2.874452390788513</v>
      </c>
      <c r="AY110" s="7">
        <f t="shared" si="89"/>
        <v>-1.7558846121321992</v>
      </c>
      <c r="AZ110" s="11">
        <f>AZ109+0.5</f>
        <v>62.5</v>
      </c>
    </row>
    <row r="111" spans="49:52" ht="12.75">
      <c r="AW111" s="7">
        <f t="shared" si="90"/>
        <v>1.72265625</v>
      </c>
      <c r="AX111" s="7">
        <f t="shared" si="88"/>
        <v>2.9675445556640625</v>
      </c>
      <c r="AY111" s="7">
        <f t="shared" si="89"/>
        <v>-1.7145150174976078</v>
      </c>
      <c r="AZ111" s="7">
        <v>63</v>
      </c>
    </row>
    <row r="112" spans="49:52" ht="12.75">
      <c r="AW112" s="7">
        <f t="shared" si="90"/>
        <v>1.7501085069444446</v>
      </c>
      <c r="AX112" s="7">
        <f t="shared" si="88"/>
        <v>3.0628797860793133</v>
      </c>
      <c r="AY112" s="7">
        <f t="shared" si="89"/>
        <v>-1.6755429687753924</v>
      </c>
      <c r="AZ112" s="11">
        <f>AZ111+0.5</f>
        <v>63.5</v>
      </c>
    </row>
    <row r="113" spans="2:52" ht="12.75">
      <c r="B113" s="13"/>
      <c r="C113" s="13"/>
      <c r="N113" s="13"/>
      <c r="O113" s="13"/>
      <c r="AW113" s="7">
        <f t="shared" si="90"/>
        <v>1.7777777777777777</v>
      </c>
      <c r="AX113" s="7">
        <f t="shared" si="88"/>
        <v>3.1604938271604937</v>
      </c>
      <c r="AY113" s="7">
        <f t="shared" si="89"/>
        <v>-1.6388140915027896</v>
      </c>
      <c r="AZ113" s="7">
        <v>64</v>
      </c>
    </row>
    <row r="114" spans="49:52" ht="12.75">
      <c r="AW114" s="7">
        <f t="shared" si="90"/>
        <v>1.8056640625</v>
      </c>
      <c r="AX114" s="7">
        <f t="shared" si="88"/>
        <v>3.260422706604004</v>
      </c>
      <c r="AY114" s="7">
        <f t="shared" si="89"/>
        <v>-1.6041828338853343</v>
      </c>
      <c r="AZ114" s="11">
        <f>AZ113+0.5</f>
        <v>64.5</v>
      </c>
    </row>
    <row r="115" spans="49:52" ht="12.75">
      <c r="AW115" s="7">
        <f t="shared" si="90"/>
        <v>1.8337673611111114</v>
      </c>
      <c r="AX115" s="7">
        <f t="shared" si="88"/>
        <v>3.362702734676409</v>
      </c>
      <c r="AY115" s="7">
        <f t="shared" si="89"/>
        <v>-1.571512155536146</v>
      </c>
      <c r="AZ115" s="7">
        <v>65</v>
      </c>
    </row>
    <row r="116" spans="49:52" ht="12.75">
      <c r="AW116" s="7">
        <f t="shared" si="90"/>
        <v>1.862087673611111</v>
      </c>
      <c r="AX116" s="7">
        <f t="shared" si="88"/>
        <v>3.4673705042144394</v>
      </c>
      <c r="AY116" s="7">
        <f t="shared" si="89"/>
        <v>-1.540673195956232</v>
      </c>
      <c r="AZ116" s="11">
        <f>AZ115+0.5</f>
        <v>65.5</v>
      </c>
    </row>
    <row r="117" spans="49:52" ht="12.75">
      <c r="AW117" s="7">
        <f t="shared" si="90"/>
        <v>1.890625</v>
      </c>
      <c r="AX117" s="7">
        <f t="shared" si="88"/>
        <v>3.574462890625</v>
      </c>
      <c r="AY117" s="7">
        <f t="shared" si="89"/>
        <v>-1.5115449290764083</v>
      </c>
      <c r="AZ117" s="7">
        <v>66</v>
      </c>
    </row>
    <row r="118" spans="49:52" ht="12.75">
      <c r="AW118" s="7">
        <f t="shared" si="90"/>
        <v>1.919379340277778</v>
      </c>
      <c r="AX118" s="7">
        <f aca="true" t="shared" si="91" ref="AX118:AX133">_Fn2cc^2</f>
        <v>3.684017051885158</v>
      </c>
      <c r="AY118" s="7">
        <f aca="true" t="shared" si="92" ref="AY118:AY133">10*LOG(_Fn4cc^2/((_Fn4cc-_Cm*_Fn2cc+_Am)^2+_Fn2cc*(_Dm*_Fn2cc-_Bm)^2))</f>
        <v>-1.484013809331087</v>
      </c>
      <c r="AZ118" s="11">
        <f>AZ117+0.5</f>
        <v>66.5</v>
      </c>
    </row>
    <row r="119" spans="49:52" ht="12.75">
      <c r="AW119" s="7">
        <f aca="true" t="shared" si="93" ref="AW119:AW134">(Fcc/Fs)^2</f>
        <v>1.9483506944444442</v>
      </c>
      <c r="AX119" s="7">
        <f t="shared" si="91"/>
        <v>3.796070428542148</v>
      </c>
      <c r="AY119" s="7">
        <f t="shared" si="92"/>
        <v>-1.4579734139410525</v>
      </c>
      <c r="AZ119" s="7">
        <v>67</v>
      </c>
    </row>
    <row r="120" spans="49:52" ht="12.75">
      <c r="AW120" s="7">
        <f t="shared" si="93"/>
        <v>1.9775390625</v>
      </c>
      <c r="AX120" s="7">
        <f t="shared" si="91"/>
        <v>3.910660743713379</v>
      </c>
      <c r="AY120" s="7">
        <f t="shared" si="92"/>
        <v>-1.4333240853535691</v>
      </c>
      <c r="AZ120" s="11">
        <f>AZ119+0.5</f>
        <v>67.5</v>
      </c>
    </row>
    <row r="121" spans="49:52" ht="12.75">
      <c r="AW121" s="7">
        <f t="shared" si="93"/>
        <v>2.0069444444444446</v>
      </c>
      <c r="AX121" s="7">
        <f t="shared" si="91"/>
        <v>4.02782600308642</v>
      </c>
      <c r="AY121" s="7">
        <f t="shared" si="92"/>
        <v>-1.4099725771269178</v>
      </c>
      <c r="AZ121" s="7">
        <v>68</v>
      </c>
    </row>
    <row r="122" spans="49:52" ht="12.75">
      <c r="AW122" s="7">
        <f t="shared" si="93"/>
        <v>2.0365668402777777</v>
      </c>
      <c r="AX122" s="7">
        <f t="shared" si="91"/>
        <v>4.147604494919011</v>
      </c>
      <c r="AY122" s="7">
        <f t="shared" si="92"/>
        <v>-1.3878317059530034</v>
      </c>
      <c r="AZ122" s="11">
        <f>AZ121+0.5</f>
        <v>68.5</v>
      </c>
    </row>
    <row r="123" spans="49:52" ht="12.75">
      <c r="AW123" s="7">
        <f t="shared" si="93"/>
        <v>2.06640625</v>
      </c>
      <c r="AX123" s="7">
        <f t="shared" si="91"/>
        <v>4.2700347900390625</v>
      </c>
      <c r="AY123" s="7">
        <f t="shared" si="92"/>
        <v>-1.3668200119853222</v>
      </c>
      <c r="AZ123" s="7">
        <v>69</v>
      </c>
    </row>
    <row r="124" spans="49:52" ht="12.75">
      <c r="AW124" s="7">
        <f t="shared" si="93"/>
        <v>2.096462673611111</v>
      </c>
      <c r="AX124" s="7">
        <f t="shared" si="91"/>
        <v>4.395155741844649</v>
      </c>
      <c r="AY124" s="7">
        <f t="shared" si="92"/>
        <v>-1.346861429176662</v>
      </c>
      <c r="AZ124" s="11">
        <f>AZ123+0.5</f>
        <v>69.5</v>
      </c>
    </row>
    <row r="125" spans="49:52" ht="12.75">
      <c r="AW125" s="7">
        <f t="shared" si="93"/>
        <v>2.1267361111111107</v>
      </c>
      <c r="AX125" s="7">
        <f t="shared" si="91"/>
        <v>4.523006486304011</v>
      </c>
      <c r="AY125" s="7">
        <f t="shared" si="92"/>
        <v>-1.3278849669282835</v>
      </c>
      <c r="AZ125" s="7">
        <v>70</v>
      </c>
    </row>
    <row r="126" spans="49:52" ht="12.75">
      <c r="AW126" s="7">
        <f t="shared" si="93"/>
        <v>2.1572265625</v>
      </c>
      <c r="AX126" s="7">
        <f t="shared" si="91"/>
        <v>4.653626441955566</v>
      </c>
      <c r="AY126" s="7">
        <f t="shared" si="92"/>
        <v>-1.309824404005075</v>
      </c>
      <c r="AZ126" s="11">
        <f>AZ125+0.5</f>
        <v>70.5</v>
      </c>
    </row>
    <row r="127" spans="49:52" ht="12.75">
      <c r="AW127" s="7">
        <f t="shared" si="93"/>
        <v>2.187934027777778</v>
      </c>
      <c r="AX127" s="7">
        <f t="shared" si="91"/>
        <v>4.787055309907891</v>
      </c>
      <c r="AY127" s="7">
        <f t="shared" si="92"/>
        <v>-1.2926179953747374</v>
      </c>
      <c r="AZ127" s="7">
        <v>71</v>
      </c>
    </row>
    <row r="128" spans="49:52" ht="12.75">
      <c r="AW128" s="7">
        <f t="shared" si="93"/>
        <v>2.218858506944444</v>
      </c>
      <c r="AX128" s="7">
        <f t="shared" si="91"/>
        <v>4.9233330738397285</v>
      </c>
      <c r="AY128" s="7">
        <f t="shared" si="92"/>
        <v>-1.2762081923783366</v>
      </c>
      <c r="AZ128" s="11">
        <f>AZ127+0.5</f>
        <v>71.5</v>
      </c>
    </row>
    <row r="129" spans="49:52" ht="12.75">
      <c r="AW129" s="7">
        <f t="shared" si="93"/>
        <v>2.25</v>
      </c>
      <c r="AX129" s="7">
        <f t="shared" si="91"/>
        <v>5.0625</v>
      </c>
      <c r="AY129" s="7">
        <f t="shared" si="92"/>
        <v>-1.260541376429833</v>
      </c>
      <c r="AZ129" s="7">
        <v>72</v>
      </c>
    </row>
    <row r="130" spans="49:52" ht="12.75">
      <c r="AW130" s="7">
        <f t="shared" si="93"/>
        <v>2.2813585069444446</v>
      </c>
      <c r="AX130" s="7">
        <f t="shared" si="91"/>
        <v>5.204596637207786</v>
      </c>
      <c r="AY130" s="7">
        <f t="shared" si="92"/>
        <v>-1.2455676062686836</v>
      </c>
      <c r="AZ130" s="11">
        <f>AZ129+0.5</f>
        <v>72.5</v>
      </c>
    </row>
    <row r="131" spans="49:52" ht="12.75">
      <c r="AW131" s="7">
        <f t="shared" si="93"/>
        <v>2.3129340277777777</v>
      </c>
      <c r="AX131" s="7">
        <f t="shared" si="91"/>
        <v>5.349663816852334</v>
      </c>
      <c r="AY131" s="7">
        <f t="shared" si="92"/>
        <v>-1.2312403786480244</v>
      </c>
      <c r="AZ131" s="7">
        <v>73</v>
      </c>
    </row>
    <row r="132" spans="49:52" ht="12.75">
      <c r="AW132" s="7">
        <f t="shared" si="93"/>
        <v>2.3447265625</v>
      </c>
      <c r="AX132" s="7">
        <f t="shared" si="91"/>
        <v>5.497742652893066</v>
      </c>
      <c r="AY132" s="7">
        <f t="shared" si="92"/>
        <v>-1.2175164022268596</v>
      </c>
      <c r="AZ132" s="11">
        <f>AZ131+0.5</f>
        <v>73.5</v>
      </c>
    </row>
    <row r="133" spans="49:52" ht="12.75">
      <c r="AW133" s="7">
        <f t="shared" si="93"/>
        <v>2.376736111111111</v>
      </c>
      <c r="AX133" s="7">
        <f t="shared" si="91"/>
        <v>5.648874541859568</v>
      </c>
      <c r="AY133" s="7">
        <f t="shared" si="92"/>
        <v>-1.2043553843448198</v>
      </c>
      <c r="AZ133" s="7">
        <v>74</v>
      </c>
    </row>
    <row r="134" spans="49:52" ht="12.75">
      <c r="AW134" s="7">
        <f t="shared" si="93"/>
        <v>2.4089626736111107</v>
      </c>
      <c r="AX134" s="7">
        <f aca="true" t="shared" si="94" ref="AX134:AX149">_Fn2cc^2</f>
        <v>5.803101162851591</v>
      </c>
      <c r="AY134" s="7">
        <f aca="true" t="shared" si="95" ref="AY134:AY149">10*LOG(_Fn4cc^2/((_Fn4cc-_Cm*_Fn2cc+_Am)^2+_Fn2cc*(_Dm*_Fn2cc-_Bm)^2))</f>
        <v>-1.1917198302885383</v>
      </c>
      <c r="AZ134" s="11">
        <f>AZ133+0.5</f>
        <v>74.5</v>
      </c>
    </row>
    <row r="135" spans="49:52" ht="12.75">
      <c r="AW135" s="7">
        <f aca="true" t="shared" si="96" ref="AW135:AW150">(Fcc/Fs)^2</f>
        <v>2.44140625</v>
      </c>
      <c r="AX135" s="7">
        <f t="shared" si="94"/>
        <v>5.9604644775390625</v>
      </c>
      <c r="AY135" s="7">
        <f t="shared" si="95"/>
        <v>-1.1795748546067242</v>
      </c>
      <c r="AZ135" s="7">
        <v>75</v>
      </c>
    </row>
    <row r="136" spans="49:52" ht="12.75">
      <c r="AW136" s="7">
        <f t="shared" si="96"/>
        <v>2.474066840277778</v>
      </c>
      <c r="AX136" s="7">
        <f t="shared" si="94"/>
        <v>6.121006730162069</v>
      </c>
      <c r="AY136" s="7">
        <f t="shared" si="95"/>
        <v>-1.1678880039937845</v>
      </c>
      <c r="AZ136" s="11">
        <f>AZ135+0.5</f>
        <v>75.5</v>
      </c>
    </row>
    <row r="137" spans="49:52" ht="12.75">
      <c r="AW137" s="7">
        <f t="shared" si="96"/>
        <v>2.506944444444444</v>
      </c>
      <c r="AX137" s="7">
        <f t="shared" si="94"/>
        <v>6.284770447530863</v>
      </c>
      <c r="AY137" s="7">
        <f t="shared" si="95"/>
        <v>-1.156629091237051</v>
      </c>
      <c r="AZ137" s="7">
        <v>76</v>
      </c>
    </row>
    <row r="138" spans="49:52" ht="12.75">
      <c r="AW138" s="7">
        <f t="shared" si="96"/>
        <v>2.5400390625</v>
      </c>
      <c r="AX138" s="7">
        <f t="shared" si="94"/>
        <v>6.451798439025879</v>
      </c>
      <c r="AY138" s="7">
        <f t="shared" si="95"/>
        <v>-1.1457700397079789</v>
      </c>
      <c r="AZ138" s="11">
        <f>AZ137+0.5</f>
        <v>76.5</v>
      </c>
    </row>
    <row r="139" spans="49:52" ht="12.75">
      <c r="AW139" s="7">
        <f t="shared" si="96"/>
        <v>2.5733506944444446</v>
      </c>
      <c r="AX139" s="7">
        <f t="shared" si="94"/>
        <v>6.622133796597706</v>
      </c>
      <c r="AY139" s="7">
        <f t="shared" si="95"/>
        <v>-1.1352847378715527</v>
      </c>
      <c r="AZ139" s="7">
        <v>77</v>
      </c>
    </row>
    <row r="140" spans="49:52" ht="12.75">
      <c r="AW140" s="7">
        <f t="shared" si="96"/>
        <v>2.6068793402777777</v>
      </c>
      <c r="AX140" s="7">
        <f t="shared" si="94"/>
        <v>6.795819894767101</v>
      </c>
      <c r="AY140" s="7">
        <f t="shared" si="95"/>
        <v>-1.1251489032888717</v>
      </c>
      <c r="AZ140" s="11">
        <f>AZ139+0.5</f>
        <v>77.5</v>
      </c>
    </row>
    <row r="141" spans="49:52" ht="12.75">
      <c r="AW141" s="7">
        <f t="shared" si="96"/>
        <v>2.640625</v>
      </c>
      <c r="AX141" s="7">
        <f t="shared" si="94"/>
        <v>6.972900390625</v>
      </c>
      <c r="AY141" s="7">
        <f t="shared" si="95"/>
        <v>-1.1153399555938783</v>
      </c>
      <c r="AZ141" s="7">
        <v>78</v>
      </c>
    </row>
    <row r="142" spans="49:52" ht="12.75">
      <c r="AW142" s="7">
        <f t="shared" si="96"/>
        <v>2.674587673611111</v>
      </c>
      <c r="AX142" s="7">
        <f t="shared" si="94"/>
        <v>7.153419223832496</v>
      </c>
      <c r="AY142" s="7">
        <f t="shared" si="95"/>
        <v>-1.1058368979359463</v>
      </c>
      <c r="AZ142" s="11">
        <f>AZ141+0.5</f>
        <v>78.5</v>
      </c>
    </row>
    <row r="143" spans="49:52" ht="12.75">
      <c r="AW143" s="7">
        <f t="shared" si="96"/>
        <v>2.7087673611111107</v>
      </c>
      <c r="AX143" s="7">
        <f t="shared" si="94"/>
        <v>7.33742061662085</v>
      </c>
      <c r="AY143" s="7">
        <f t="shared" si="95"/>
        <v>-1.0966202063936796</v>
      </c>
      <c r="AZ143" s="7">
        <v>79</v>
      </c>
    </row>
    <row r="144" spans="49:52" ht="12.75">
      <c r="AW144" s="7">
        <f t="shared" si="96"/>
        <v>2.7431640625</v>
      </c>
      <c r="AX144" s="7">
        <f t="shared" si="94"/>
        <v>7.524949073791504</v>
      </c>
      <c r="AY144" s="7">
        <f t="shared" si="95"/>
        <v>-1.087671726881788</v>
      </c>
      <c r="AZ144" s="11">
        <f>AZ143+0.5</f>
        <v>79.5</v>
      </c>
    </row>
    <row r="145" spans="49:52" ht="12.75">
      <c r="AW145" s="7">
        <f t="shared" si="96"/>
        <v>2.777777777777778</v>
      </c>
      <c r="AX145" s="7">
        <f t="shared" si="94"/>
        <v>7.716049382716052</v>
      </c>
      <c r="AY145" s="7">
        <f t="shared" si="95"/>
        <v>-1.078974579091146</v>
      </c>
      <c r="AZ145" s="7">
        <v>80</v>
      </c>
    </row>
    <row r="146" spans="49:52" ht="12.75">
      <c r="AW146" s="7">
        <f t="shared" si="96"/>
        <v>2.812608506944444</v>
      </c>
      <c r="AX146" s="7">
        <f t="shared" si="94"/>
        <v>7.910766613336255</v>
      </c>
      <c r="AY146" s="7">
        <f t="shared" si="95"/>
        <v>-1.0705130670215621</v>
      </c>
      <c r="AZ146" s="11">
        <f>AZ145+0.5</f>
        <v>80.5</v>
      </c>
    </row>
    <row r="147" spans="49:52" ht="12.75">
      <c r="AW147" s="7">
        <f t="shared" si="96"/>
        <v>2.84765625</v>
      </c>
      <c r="AX147" s="7">
        <f t="shared" si="94"/>
        <v>8.109146118164062</v>
      </c>
      <c r="AY147" s="7">
        <f t="shared" si="95"/>
        <v>-1.0622725956871215</v>
      </c>
      <c r="AZ147" s="7">
        <v>81</v>
      </c>
    </row>
    <row r="148" spans="49:52" ht="12.75">
      <c r="AW148" s="7">
        <f t="shared" si="96"/>
        <v>2.8829210069444446</v>
      </c>
      <c r="AX148" s="7">
        <f t="shared" si="94"/>
        <v>8.311233532281571</v>
      </c>
      <c r="AY148" s="7">
        <f t="shared" si="95"/>
        <v>-1.0542395935946818</v>
      </c>
      <c r="AZ148" s="11">
        <f>AZ147+0.5</f>
        <v>81.5</v>
      </c>
    </row>
    <row r="149" spans="49:52" ht="12.75">
      <c r="AW149" s="7">
        <f t="shared" si="96"/>
        <v>2.9184027777777777</v>
      </c>
      <c r="AX149" s="7">
        <f t="shared" si="94"/>
        <v>8.517074773341049</v>
      </c>
      <c r="AY149" s="7">
        <f t="shared" si="95"/>
        <v>-1.0464014406168023</v>
      </c>
      <c r="AZ149" s="7">
        <v>82</v>
      </c>
    </row>
    <row r="150" spans="49:52" ht="12.75">
      <c r="AW150" s="7">
        <f t="shared" si="96"/>
        <v>2.9541015625</v>
      </c>
      <c r="AX150" s="7">
        <f aca="true" t="shared" si="97" ref="AX150:AX165">_Fn2cc^2</f>
        <v>8.726716041564941</v>
      </c>
      <c r="AY150" s="7">
        <f aca="true" t="shared" si="98" ref="AY150:AY165">10*LOG(_Fn4cc^2/((_Fn4cc-_Cm*_Fn2cc+_Am)^2+_Fn2cc*(_Dm*_Fn2cc-_Bm)^2))</f>
        <v>-1.0387464009011038</v>
      </c>
      <c r="AZ150" s="11">
        <f>AZ149+0.5</f>
        <v>82.5</v>
      </c>
    </row>
    <row r="151" spans="49:52" ht="12.75">
      <c r="AW151" s="7">
        <f aca="true" t="shared" si="99" ref="AW151:AW166">(Fcc/Fs)^2</f>
        <v>2.990017361111111</v>
      </c>
      <c r="AX151" s="7">
        <f t="shared" si="97"/>
        <v>8.940203819745854</v>
      </c>
      <c r="AY151" s="7">
        <f t="shared" si="98"/>
        <v>-1.0312635604782392</v>
      </c>
      <c r="AZ151" s="7">
        <v>83</v>
      </c>
    </row>
    <row r="152" spans="49:52" ht="12.75">
      <c r="AW152" s="7">
        <f t="shared" si="99"/>
        <v>3.0261501736111107</v>
      </c>
      <c r="AX152" s="7">
        <f t="shared" si="97"/>
        <v>9.157584873246556</v>
      </c>
      <c r="AY152" s="7">
        <f t="shared" si="98"/>
        <v>-1.0239427692504766</v>
      </c>
      <c r="AZ152" s="11">
        <f>AZ151+0.5</f>
        <v>83.5</v>
      </c>
    </row>
    <row r="153" spans="49:52" ht="12.75">
      <c r="AW153" s="7">
        <f t="shared" si="99"/>
        <v>3.0625</v>
      </c>
      <c r="AX153" s="7">
        <f t="shared" si="97"/>
        <v>9.37890625</v>
      </c>
      <c r="AY153" s="7">
        <f t="shared" si="98"/>
        <v>-1.016774587061979</v>
      </c>
      <c r="AZ153" s="7">
        <v>84</v>
      </c>
    </row>
    <row r="154" spans="49:52" ht="12.75">
      <c r="AW154" s="7">
        <f t="shared" si="99"/>
        <v>3.099066840277778</v>
      </c>
      <c r="AX154" s="7">
        <f t="shared" si="97"/>
        <v>9.604215280509292</v>
      </c>
      <c r="AY154" s="7">
        <f t="shared" si="98"/>
        <v>-1.0097502335703097</v>
      </c>
      <c r="AZ154" s="11">
        <f>AZ153+0.5</f>
        <v>84.5</v>
      </c>
    </row>
    <row r="155" spans="49:52" ht="12.75">
      <c r="AW155" s="7">
        <f t="shared" si="99"/>
        <v>3.135850694444444</v>
      </c>
      <c r="AX155" s="7">
        <f t="shared" si="97"/>
        <v>9.833559577847703</v>
      </c>
      <c r="AY155" s="7">
        <f t="shared" si="98"/>
        <v>-1.002861541656376</v>
      </c>
      <c r="AZ155" s="7">
        <v>85</v>
      </c>
    </row>
    <row r="156" spans="49:52" ht="12.75">
      <c r="AW156" s="7">
        <f t="shared" si="99"/>
        <v>3.1728515625</v>
      </c>
      <c r="AX156" s="7">
        <f t="shared" si="97"/>
        <v>10.066987037658691</v>
      </c>
      <c r="AY156" s="7">
        <f t="shared" si="98"/>
        <v>-0.9961009141267846</v>
      </c>
      <c r="AZ156" s="11">
        <f>AZ155+0.5</f>
        <v>85.5</v>
      </c>
    </row>
    <row r="157" spans="49:52" ht="12.75">
      <c r="AW157" s="7">
        <f t="shared" si="99"/>
        <v>3.2100694444444446</v>
      </c>
      <c r="AX157" s="7">
        <f t="shared" si="97"/>
        <v>10.304545838155866</v>
      </c>
      <c r="AY157" s="7">
        <f t="shared" si="98"/>
        <v>-0.9894612834787082</v>
      </c>
      <c r="AZ157" s="7">
        <v>86</v>
      </c>
    </row>
    <row r="158" spans="49:52" ht="12.75">
      <c r="AW158" s="7">
        <f t="shared" si="99"/>
        <v>3.2475043402777777</v>
      </c>
      <c r="AX158" s="7">
        <f t="shared" si="97"/>
        <v>10.546284440123005</v>
      </c>
      <c r="AY158" s="7">
        <f t="shared" si="98"/>
        <v>-0.9829360745125055</v>
      </c>
      <c r="AZ158" s="11">
        <f>AZ157+0.5</f>
        <v>86.5</v>
      </c>
    </row>
    <row r="159" spans="49:52" ht="12.75">
      <c r="AW159" s="7">
        <f t="shared" si="99"/>
        <v>3.28515625</v>
      </c>
      <c r="AX159" s="7">
        <f t="shared" si="97"/>
        <v>10.792251586914062</v>
      </c>
      <c r="AY159" s="7">
        <f t="shared" si="98"/>
        <v>-0.9765191695916791</v>
      </c>
      <c r="AZ159" s="7">
        <v>87</v>
      </c>
    </row>
    <row r="160" spans="49:52" ht="12.75">
      <c r="AW160" s="7">
        <f t="shared" si="99"/>
        <v>3.323025173611111</v>
      </c>
      <c r="AX160" s="7">
        <f t="shared" si="97"/>
        <v>11.042496304453156</v>
      </c>
      <c r="AY160" s="7">
        <f t="shared" si="98"/>
        <v>-0.9702048763633552</v>
      </c>
      <c r="AZ160" s="11">
        <f>AZ159+0.5</f>
        <v>87.5</v>
      </c>
    </row>
    <row r="161" spans="49:52" ht="12.75">
      <c r="AW161" s="7">
        <f t="shared" si="99"/>
        <v>3.3611111111111107</v>
      </c>
      <c r="AX161" s="7">
        <f t="shared" si="97"/>
        <v>11.297067901234565</v>
      </c>
      <c r="AY161" s="7">
        <f t="shared" si="98"/>
        <v>-0.9639878977651821</v>
      </c>
      <c r="AZ161" s="7">
        <v>88</v>
      </c>
    </row>
    <row r="162" spans="49:52" ht="12.75">
      <c r="AW162" s="7">
        <f t="shared" si="99"/>
        <v>3.3994140625</v>
      </c>
      <c r="AX162" s="7">
        <f t="shared" si="97"/>
        <v>11.556015968322754</v>
      </c>
      <c r="AY162" s="7">
        <f t="shared" si="98"/>
        <v>-0.9578633041565281</v>
      </c>
      <c r="AZ162" s="11">
        <f>AZ161+0.5</f>
        <v>88.5</v>
      </c>
    </row>
    <row r="163" spans="49:52" ht="12.75">
      <c r="AW163" s="7">
        <f t="shared" si="99"/>
        <v>3.437934027777778</v>
      </c>
      <c r="AX163" s="7">
        <f t="shared" si="97"/>
        <v>11.819390379352336</v>
      </c>
      <c r="AY163" s="7">
        <f t="shared" si="98"/>
        <v>-0.9518265074231194</v>
      </c>
      <c r="AZ163" s="7">
        <v>89</v>
      </c>
    </row>
    <row r="164" spans="49:52" ht="12.75">
      <c r="AW164" s="7">
        <f t="shared" si="99"/>
        <v>3.476671006944444</v>
      </c>
      <c r="AX164" s="7">
        <f t="shared" si="97"/>
        <v>12.087241290528096</v>
      </c>
      <c r="AY164" s="7">
        <f t="shared" si="98"/>
        <v>-0.9458732369147724</v>
      </c>
      <c r="AZ164" s="11">
        <f>AZ163+0.5</f>
        <v>89.5</v>
      </c>
    </row>
    <row r="165" spans="49:52" ht="12.75">
      <c r="AW165" s="7">
        <f t="shared" si="99"/>
        <v>3.515625</v>
      </c>
      <c r="AX165" s="7">
        <f t="shared" si="97"/>
        <v>12.359619140625</v>
      </c>
      <c r="AY165" s="7">
        <f t="shared" si="98"/>
        <v>-0.939999517085685</v>
      </c>
      <c r="AZ165" s="7">
        <v>90</v>
      </c>
    </row>
    <row r="166" spans="49:52" ht="12.75">
      <c r="AW166" s="7">
        <f t="shared" si="99"/>
        <v>3.5547960069444446</v>
      </c>
      <c r="AX166" s="7">
        <f aca="true" t="shared" si="100" ref="AX166:AX181">_Fn2cc^2</f>
        <v>12.636574650988168</v>
      </c>
      <c r="AY166" s="7">
        <f aca="true" t="shared" si="101" ref="AY166:AY181">10*LOG(_Fn4cc^2/((_Fn4cc-_Cm*_Fn2cc+_Am)^2+_Fn2cc*(_Dm*_Fn2cc-_Bm)^2))</f>
        <v>-0.9342016467160303</v>
      </c>
      <c r="AZ166" s="11">
        <f>AZ165+0.5</f>
        <v>90.5</v>
      </c>
    </row>
    <row r="167" spans="49:52" ht="12.75">
      <c r="AW167" s="7">
        <f aca="true" t="shared" si="102" ref="AW167:AW182">(Fcc/Fs)^2</f>
        <v>3.5941840277777777</v>
      </c>
      <c r="AX167" s="7">
        <f t="shared" si="100"/>
        <v>12.918158825532888</v>
      </c>
      <c r="AY167" s="7">
        <f t="shared" si="101"/>
        <v>-0.928476179602082</v>
      </c>
      <c r="AZ167" s="7">
        <v>91</v>
      </c>
    </row>
    <row r="168" spans="49:52" ht="12.75">
      <c r="AW168" s="7">
        <f t="shared" si="102"/>
        <v>3.6337890625</v>
      </c>
      <c r="AX168" s="7">
        <f t="shared" si="100"/>
        <v>13.204422950744629</v>
      </c>
      <c r="AY168" s="7">
        <f t="shared" si="101"/>
        <v>-0.9228199066101938</v>
      </c>
      <c r="AZ168" s="11">
        <f>AZ167+0.5</f>
        <v>91.5</v>
      </c>
    </row>
    <row r="169" spans="49:52" ht="12.75">
      <c r="AW169" s="7">
        <f t="shared" si="102"/>
        <v>3.6736111111111116</v>
      </c>
      <c r="AX169" s="7">
        <f t="shared" si="100"/>
        <v>13.495418595679016</v>
      </c>
      <c r="AY169" s="7">
        <f t="shared" si="101"/>
        <v>-0.9172298389973688</v>
      </c>
      <c r="AZ169" s="7">
        <v>92</v>
      </c>
    </row>
    <row r="170" spans="49:52" ht="12.75">
      <c r="AW170" s="7">
        <f t="shared" si="102"/>
        <v>3.7136501736111107</v>
      </c>
      <c r="AX170" s="7">
        <f t="shared" si="100"/>
        <v>13.791197611961833</v>
      </c>
      <c r="AY170" s="7">
        <f t="shared" si="101"/>
        <v>-0.9117031929080919</v>
      </c>
      <c r="AZ170" s="11">
        <f>AZ169+0.5</f>
        <v>92.5</v>
      </c>
    </row>
    <row r="171" spans="49:52" ht="12.75">
      <c r="AW171" s="7">
        <f t="shared" si="102"/>
        <v>3.75390625</v>
      </c>
      <c r="AX171" s="7">
        <f t="shared" si="100"/>
        <v>14.091812133789062</v>
      </c>
      <c r="AY171" s="7">
        <f t="shared" si="101"/>
        <v>-0.9062373749636059</v>
      </c>
      <c r="AZ171" s="7">
        <v>93</v>
      </c>
    </row>
    <row r="172" spans="49:52" ht="12.75">
      <c r="AW172" s="7">
        <f t="shared" si="102"/>
        <v>3.794379340277778</v>
      </c>
      <c r="AX172" s="7">
        <f t="shared" si="100"/>
        <v>14.397314577926826</v>
      </c>
      <c r="AY172" s="7">
        <f t="shared" si="101"/>
        <v>-0.9008299688657964</v>
      </c>
      <c r="AZ172" s="11">
        <f>AZ171+0.5</f>
        <v>93.5</v>
      </c>
    </row>
    <row r="173" spans="49:52" ht="12.75">
      <c r="AW173" s="7">
        <f t="shared" si="102"/>
        <v>3.835069444444444</v>
      </c>
      <c r="AX173" s="7">
        <f t="shared" si="100"/>
        <v>14.707757643711417</v>
      </c>
      <c r="AY173" s="7">
        <f t="shared" si="101"/>
        <v>-0.8954787229434212</v>
      </c>
      <c r="AZ173" s="7">
        <v>94</v>
      </c>
    </row>
    <row r="174" spans="49:52" ht="12.75">
      <c r="AW174" s="7">
        <f t="shared" si="102"/>
        <v>3.8759765625</v>
      </c>
      <c r="AX174" s="7">
        <f t="shared" si="100"/>
        <v>15.023194313049316</v>
      </c>
      <c r="AY174" s="7">
        <f t="shared" si="101"/>
        <v>-0.8901815385736436</v>
      </c>
      <c r="AZ174" s="11">
        <f>AZ173+0.5</f>
        <v>94.5</v>
      </c>
    </row>
    <row r="175" spans="49:52" ht="12.75">
      <c r="AW175" s="7">
        <f t="shared" si="102"/>
        <v>3.9171006944444446</v>
      </c>
      <c r="AX175" s="7">
        <f t="shared" si="100"/>
        <v>15.34367785041715</v>
      </c>
      <c r="AY175" s="7">
        <f t="shared" si="101"/>
        <v>-0.8849364594166467</v>
      </c>
      <c r="AZ175" s="7">
        <v>95</v>
      </c>
    </row>
    <row r="176" spans="49:52" ht="12.75">
      <c r="AW176" s="7">
        <f t="shared" si="102"/>
        <v>3.9584418402777777</v>
      </c>
      <c r="AX176" s="7">
        <f t="shared" si="100"/>
        <v>15.669261802861719</v>
      </c>
      <c r="AY176" s="7">
        <f t="shared" si="101"/>
        <v>-0.8797416614055532</v>
      </c>
      <c r="AZ176" s="11">
        <f>AZ175+0.5</f>
        <v>95.5</v>
      </c>
    </row>
    <row r="177" spans="49:52" ht="12.75">
      <c r="AW177" s="7">
        <f t="shared" si="102"/>
        <v>4</v>
      </c>
      <c r="AX177" s="7">
        <f t="shared" si="100"/>
        <v>16</v>
      </c>
      <c r="AY177" s="7">
        <f t="shared" si="101"/>
        <v>-0.8745954434380897</v>
      </c>
      <c r="AZ177" s="7">
        <v>96</v>
      </c>
    </row>
    <row r="178" spans="49:52" ht="12.75">
      <c r="AW178" s="7">
        <f t="shared" si="102"/>
        <v>4.041775173611111</v>
      </c>
      <c r="AX178" s="7">
        <f t="shared" si="100"/>
        <v>16.335946554019124</v>
      </c>
      <c r="AY178" s="7">
        <f t="shared" si="101"/>
        <v>-0.8694962187202018</v>
      </c>
      <c r="AZ178" s="11">
        <f>AZ177+0.5</f>
        <v>96.5</v>
      </c>
    </row>
    <row r="179" spans="49:52" ht="12.75">
      <c r="AW179" s="7">
        <f t="shared" si="102"/>
        <v>4.083767361111112</v>
      </c>
      <c r="AX179" s="7">
        <f t="shared" si="100"/>
        <v>16.67715585967641</v>
      </c>
      <c r="AY179" s="7">
        <f t="shared" si="101"/>
        <v>-0.8644425067155247</v>
      </c>
      <c r="AZ179" s="7">
        <v>97</v>
      </c>
    </row>
    <row r="180" spans="49:52" ht="12.75">
      <c r="AW180" s="7">
        <f t="shared" si="102"/>
        <v>4.1259765625</v>
      </c>
      <c r="AX180" s="7">
        <f t="shared" si="100"/>
        <v>17.023682594299316</v>
      </c>
      <c r="AY180" s="7">
        <f t="shared" si="101"/>
        <v>-0.8594329256578084</v>
      </c>
      <c r="AZ180" s="11">
        <f>AZ179+0.5</f>
        <v>97.5</v>
      </c>
    </row>
    <row r="181" spans="49:52" ht="12.75">
      <c r="AW181" s="7">
        <f t="shared" si="102"/>
        <v>4.168402777777777</v>
      </c>
      <c r="AX181" s="7">
        <f t="shared" si="100"/>
        <v>17.375581717785487</v>
      </c>
      <c r="AY181" s="7">
        <f t="shared" si="101"/>
        <v>-0.854466185586591</v>
      </c>
      <c r="AZ181" s="7">
        <v>98</v>
      </c>
    </row>
    <row r="182" spans="49:52" ht="12.75">
      <c r="AW182" s="7">
        <f t="shared" si="102"/>
        <v>4.211046006944445</v>
      </c>
      <c r="AX182" s="7">
        <f aca="true" t="shared" si="103" ref="AX182:AX197">_Fn2cc^2</f>
        <v>17.73290847260275</v>
      </c>
      <c r="AY182" s="7">
        <f aca="true" t="shared" si="104" ref="AY182:AY197">10*LOG(_Fn4cc^2/((_Fn4cc-_Cm*_Fn2cc+_Am)^2+_Fn2cc*(_Dm*_Fn2cc-_Bm)^2))</f>
        <v>-0.8495410818691645</v>
      </c>
      <c r="AZ182" s="11">
        <f>AZ181+0.5</f>
        <v>98.5</v>
      </c>
    </row>
    <row r="183" spans="49:52" ht="12.75">
      <c r="AW183" s="7">
        <f aca="true" t="shared" si="105" ref="AW183:AW198">(Fcc/Fs)^2</f>
        <v>4.25390625</v>
      </c>
      <c r="AX183" s="7">
        <f t="shared" si="103"/>
        <v>18.095718383789062</v>
      </c>
      <c r="AY183" s="7">
        <f t="shared" si="104"/>
        <v>-0.8446564891746144</v>
      </c>
      <c r="AZ183" s="7">
        <v>99</v>
      </c>
    </row>
    <row r="184" spans="49:52" ht="12.75">
      <c r="AW184" s="7">
        <f t="shared" si="105"/>
        <v>4.296983506944444</v>
      </c>
      <c r="AX184" s="7">
        <f t="shared" si="103"/>
        <v>18.46406725895257</v>
      </c>
      <c r="AY184" s="7">
        <f t="shared" si="104"/>
        <v>-0.83981135586811</v>
      </c>
      <c r="AZ184" s="11">
        <f>AZ183+0.5</f>
        <v>99.5</v>
      </c>
    </row>
    <row r="185" spans="49:52" ht="12.75">
      <c r="AW185" s="7">
        <f t="shared" si="105"/>
        <v>4.340277777777779</v>
      </c>
      <c r="AX185" s="7">
        <f t="shared" si="103"/>
        <v>18.83801118827161</v>
      </c>
      <c r="AY185" s="7">
        <f t="shared" si="104"/>
        <v>-0.8350046987959531</v>
      </c>
      <c r="AZ185" s="7">
        <v>100</v>
      </c>
    </row>
    <row r="186" spans="49:52" ht="12.75">
      <c r="AW186" s="7">
        <f t="shared" si="105"/>
        <v>4.3837890625</v>
      </c>
      <c r="AX186" s="7">
        <f t="shared" si="103"/>
        <v>19.21760654449463</v>
      </c>
      <c r="AY186" s="7">
        <f t="shared" si="104"/>
        <v>-0.8302355984339349</v>
      </c>
      <c r="AZ186" s="11">
        <f>AZ185+0.5</f>
        <v>100.5</v>
      </c>
    </row>
    <row r="187" spans="49:52" ht="12.75">
      <c r="AW187" s="7">
        <f t="shared" si="105"/>
        <v>4.427517361111111</v>
      </c>
      <c r="AX187" s="7">
        <f t="shared" si="103"/>
        <v>19.602909982940293</v>
      </c>
      <c r="AY187" s="7">
        <f t="shared" si="104"/>
        <v>-0.8255031943735871</v>
      </c>
      <c r="AZ187" s="7">
        <v>101</v>
      </c>
    </row>
    <row r="188" spans="49:52" ht="12.75">
      <c r="AW188" s="7">
        <f t="shared" si="105"/>
        <v>4.471462673611112</v>
      </c>
      <c r="AX188" s="7">
        <f t="shared" si="103"/>
        <v>19.99397844149743</v>
      </c>
      <c r="AY188" s="7">
        <f t="shared" si="104"/>
        <v>-0.8208066811226538</v>
      </c>
      <c r="AZ188" s="11">
        <f>AZ187+0.5</f>
        <v>101.5</v>
      </c>
    </row>
    <row r="189" spans="49:52" ht="12.75">
      <c r="AW189" s="7">
        <f t="shared" si="105"/>
        <v>4.515625</v>
      </c>
      <c r="AX189" s="7">
        <f t="shared" si="103"/>
        <v>20.390869140625</v>
      </c>
      <c r="AY189" s="7">
        <f t="shared" si="104"/>
        <v>-0.8161453041978807</v>
      </c>
      <c r="AZ189" s="7">
        <v>102</v>
      </c>
    </row>
    <row r="190" spans="49:52" ht="12.75">
      <c r="AW190" s="7">
        <f t="shared" si="105"/>
        <v>4.560004340277777</v>
      </c>
      <c r="AX190" s="7">
        <f t="shared" si="103"/>
        <v>20.793639583352164</v>
      </c>
      <c r="AY190" s="7">
        <f t="shared" si="104"/>
        <v>-0.811518356489682</v>
      </c>
      <c r="AZ190" s="11">
        <f>AZ189+0.5</f>
        <v>102.5</v>
      </c>
    </row>
    <row r="191" spans="49:52" ht="12.75">
      <c r="AW191" s="7">
        <f t="shared" si="105"/>
        <v>4.604600694444445</v>
      </c>
      <c r="AX191" s="7">
        <f t="shared" si="103"/>
        <v>21.202347555278262</v>
      </c>
      <c r="AY191" s="7">
        <f t="shared" si="104"/>
        <v>-0.8069251748797786</v>
      </c>
      <c r="AZ191" s="7">
        <v>103</v>
      </c>
    </row>
    <row r="192" spans="49:52" ht="12.75">
      <c r="AW192" s="7">
        <f t="shared" si="105"/>
        <v>4.6494140625</v>
      </c>
      <c r="AX192" s="7">
        <f t="shared" si="103"/>
        <v>21.617051124572754</v>
      </c>
      <c r="AY192" s="7">
        <f t="shared" si="104"/>
        <v>-0.802365137094193</v>
      </c>
      <c r="AZ192" s="11">
        <f>AZ191+0.5</f>
        <v>103.5</v>
      </c>
    </row>
    <row r="193" spans="49:52" ht="12.75">
      <c r="AW193" s="7">
        <f t="shared" si="105"/>
        <v>4.694444444444444</v>
      </c>
      <c r="AX193" s="7">
        <f t="shared" si="103"/>
        <v>22.037808641975303</v>
      </c>
      <c r="AY193" s="7">
        <f t="shared" si="104"/>
        <v>-0.7978376587752499</v>
      </c>
      <c r="AZ193" s="7">
        <v>104</v>
      </c>
    </row>
    <row r="194" spans="49:52" ht="12.75">
      <c r="AW194" s="7">
        <f t="shared" si="105"/>
        <v>4.739691840277779</v>
      </c>
      <c r="AX194" s="7">
        <f t="shared" si="103"/>
        <v>22.464678740795755</v>
      </c>
      <c r="AY194" s="7">
        <f t="shared" si="104"/>
        <v>-0.7933421907573989</v>
      </c>
      <c r="AZ194" s="11">
        <f>AZ193+0.5</f>
        <v>104.5</v>
      </c>
    </row>
    <row r="195" spans="49:52" ht="12.75">
      <c r="AW195" s="7">
        <f t="shared" si="105"/>
        <v>4.78515625</v>
      </c>
      <c r="AX195" s="7">
        <f t="shared" si="103"/>
        <v>22.897720336914062</v>
      </c>
      <c r="AY195" s="7">
        <f t="shared" si="104"/>
        <v>-0.7888782165327037</v>
      </c>
      <c r="AZ195" s="7">
        <v>105</v>
      </c>
    </row>
    <row r="196" spans="49:52" ht="12.75">
      <c r="AW196" s="7">
        <f t="shared" si="105"/>
        <v>4.830837673611111</v>
      </c>
      <c r="AX196" s="7">
        <f t="shared" si="103"/>
        <v>23.336992628780408</v>
      </c>
      <c r="AY196" s="7">
        <f t="shared" si="104"/>
        <v>-0.7844452498929194</v>
      </c>
      <c r="AZ196" s="11">
        <f>AZ195+0.5</f>
        <v>105.5</v>
      </c>
    </row>
    <row r="197" spans="49:52" ht="12.75">
      <c r="AW197" s="7">
        <f t="shared" si="105"/>
        <v>4.876736111111112</v>
      </c>
      <c r="AX197" s="7">
        <f t="shared" si="103"/>
        <v>23.782555097415127</v>
      </c>
      <c r="AY197" s="7">
        <f t="shared" si="104"/>
        <v>-0.7800428327358835</v>
      </c>
      <c r="AZ197" s="7">
        <v>106</v>
      </c>
    </row>
    <row r="198" spans="49:52" ht="12.75">
      <c r="AW198" s="7">
        <f t="shared" si="105"/>
        <v>4.9228515625</v>
      </c>
      <c r="AX198" s="7">
        <f aca="true" t="shared" si="106" ref="AX198:AX213">_Fn2cc^2</f>
        <v>24.23446750640869</v>
      </c>
      <c r="AY198" s="7">
        <f aca="true" t="shared" si="107" ref="AY198:AY213">10*LOG(_Fn4cc^2/((_Fn4cc-_Cm*_Fn2cc+_Am)^2+_Fn2cc*(_Dm*_Fn2cc-_Bm)^2))</f>
        <v>-0.7756705330249463</v>
      </c>
      <c r="AZ198" s="11">
        <f>AZ197+0.5</f>
        <v>106.5</v>
      </c>
    </row>
    <row r="199" spans="49:52" ht="12.75">
      <c r="AW199" s="7">
        <f aca="true" t="shared" si="108" ref="AW199:AW214">(Fcc/Fs)^2</f>
        <v>4.969184027777777</v>
      </c>
      <c r="AX199" s="7">
        <f t="shared" si="106"/>
        <v>24.69278990192177</v>
      </c>
      <c r="AY199" s="7">
        <f t="shared" si="107"/>
        <v>-0.7713279428908297</v>
      </c>
      <c r="AZ199" s="7">
        <v>107</v>
      </c>
    </row>
    <row r="200" spans="49:52" ht="12.75">
      <c r="AW200" s="7">
        <f t="shared" si="108"/>
        <v>5.0157335069444455</v>
      </c>
      <c r="AX200" s="7">
        <f t="shared" si="106"/>
        <v>25.157582612685225</v>
      </c>
      <c r="AY200" s="7">
        <f t="shared" si="107"/>
        <v>-0.7670146768661121</v>
      </c>
      <c r="AZ200" s="11">
        <f>AZ199+0.5</f>
        <v>107.5</v>
      </c>
    </row>
    <row r="201" spans="49:52" ht="12.75">
      <c r="AW201" s="7">
        <f t="shared" si="108"/>
        <v>5.0625</v>
      </c>
      <c r="AX201" s="7">
        <f t="shared" si="106"/>
        <v>25.62890625</v>
      </c>
      <c r="AY201" s="7">
        <f t="shared" si="107"/>
        <v>-0.7627303702432271</v>
      </c>
      <c r="AZ201" s="7">
        <v>108</v>
      </c>
    </row>
    <row r="202" spans="49:52" ht="12.75">
      <c r="AW202" s="7">
        <f t="shared" si="108"/>
        <v>5.109483506944444</v>
      </c>
      <c r="AX202" s="7">
        <f t="shared" si="106"/>
        <v>26.106821707737293</v>
      </c>
      <c r="AY202" s="7">
        <f t="shared" si="107"/>
        <v>-0.7584746775474609</v>
      </c>
      <c r="AZ202" s="11">
        <f>AZ201+0.5</f>
        <v>108.5</v>
      </c>
    </row>
    <row r="203" spans="49:52" ht="12.75">
      <c r="AW203" s="7">
        <f t="shared" si="108"/>
        <v>5.156684027777779</v>
      </c>
      <c r="AX203" s="7">
        <f t="shared" si="106"/>
        <v>26.591390162338453</v>
      </c>
      <c r="AY203" s="7">
        <f t="shared" si="107"/>
        <v>-0.7542472711170543</v>
      </c>
      <c r="AZ203" s="7">
        <v>109</v>
      </c>
    </row>
    <row r="204" spans="49:52" ht="12.75">
      <c r="AW204" s="7">
        <f t="shared" si="108"/>
        <v>5.2041015625</v>
      </c>
      <c r="AX204" s="7">
        <f t="shared" si="106"/>
        <v>27.08267307281494</v>
      </c>
      <c r="AY204" s="7">
        <f t="shared" si="107"/>
        <v>-0.7500478397830506</v>
      </c>
      <c r="AZ204" s="11">
        <f>AZ203+0.5</f>
        <v>109.5</v>
      </c>
    </row>
    <row r="205" spans="49:52" ht="12.75">
      <c r="AW205" s="7">
        <f t="shared" si="108"/>
        <v>5.251736111111111</v>
      </c>
      <c r="AX205" s="7">
        <f t="shared" si="106"/>
        <v>27.580732180748452</v>
      </c>
      <c r="AY205" s="7">
        <f t="shared" si="107"/>
        <v>-0.7458760876420449</v>
      </c>
      <c r="AZ205" s="7">
        <v>110</v>
      </c>
    </row>
    <row r="206" spans="49:52" ht="12.75">
      <c r="AW206" s="7">
        <f t="shared" si="108"/>
        <v>5.299587673611112</v>
      </c>
      <c r="AX206" s="7">
        <f t="shared" si="106"/>
        <v>28.085629510290833</v>
      </c>
      <c r="AY206" s="7">
        <f t="shared" si="107"/>
        <v>-0.741731732915464</v>
      </c>
      <c r="AZ206" s="11">
        <f>AZ205+0.5</f>
        <v>110.5</v>
      </c>
    </row>
    <row r="207" spans="49:52" ht="12.75">
      <c r="AW207" s="7">
        <f t="shared" si="108"/>
        <v>5.34765625</v>
      </c>
      <c r="AX207" s="7">
        <f t="shared" si="106"/>
        <v>28.597427368164062</v>
      </c>
      <c r="AY207" s="7">
        <f t="shared" si="107"/>
        <v>-0.7376145068894449</v>
      </c>
      <c r="AZ207" s="7">
        <v>111</v>
      </c>
    </row>
    <row r="208" spans="49:52" ht="12.75">
      <c r="AW208" s="7">
        <f t="shared" si="108"/>
        <v>5.395941840277777</v>
      </c>
      <c r="AX208" s="7">
        <f t="shared" si="106"/>
        <v>29.11618834366032</v>
      </c>
      <c r="AY208" s="7">
        <f t="shared" si="107"/>
        <v>-0.7335241529297998</v>
      </c>
      <c r="AZ208" s="11">
        <f>AZ207+0.5</f>
        <v>111.5</v>
      </c>
    </row>
    <row r="209" spans="49:52" ht="12.75">
      <c r="AW209" s="7">
        <f t="shared" si="108"/>
        <v>5.4444444444444455</v>
      </c>
      <c r="AX209" s="7">
        <f t="shared" si="106"/>
        <v>29.64197530864199</v>
      </c>
      <c r="AY209" s="7">
        <f t="shared" si="107"/>
        <v>-0.729460425566893</v>
      </c>
      <c r="AZ209" s="7">
        <v>112</v>
      </c>
    </row>
    <row r="210" spans="49:52" ht="12.75">
      <c r="AW210" s="7">
        <f t="shared" si="108"/>
        <v>5.4931640625</v>
      </c>
      <c r="AX210" s="7">
        <f t="shared" si="106"/>
        <v>30.174851417541504</v>
      </c>
      <c r="AY210" s="7">
        <f t="shared" si="107"/>
        <v>-0.7254230896456936</v>
      </c>
      <c r="AZ210" s="11">
        <f>AZ209+0.5</f>
        <v>112.5</v>
      </c>
    </row>
    <row r="211" spans="49:52" ht="12.75">
      <c r="AW211" s="7">
        <f t="shared" si="108"/>
        <v>5.542100694444444</v>
      </c>
      <c r="AX211" s="7">
        <f t="shared" si="106"/>
        <v>30.714880107361587</v>
      </c>
      <c r="AY211" s="7">
        <f t="shared" si="107"/>
        <v>-0.7214119195364914</v>
      </c>
      <c r="AZ211" s="7">
        <v>113</v>
      </c>
    </row>
    <row r="212" spans="49:52" ht="12.75">
      <c r="AW212" s="7">
        <f t="shared" si="108"/>
        <v>5.591254340277779</v>
      </c>
      <c r="AX212" s="7">
        <f t="shared" si="106"/>
        <v>31.262125097675096</v>
      </c>
      <c r="AY212" s="7">
        <f t="shared" si="107"/>
        <v>-0.7174266984021532</v>
      </c>
      <c r="AZ212" s="11">
        <f>AZ211+0.5</f>
        <v>113.5</v>
      </c>
    </row>
    <row r="213" spans="49:52" ht="12.75">
      <c r="AW213" s="7">
        <f t="shared" si="108"/>
        <v>5.640625</v>
      </c>
      <c r="AX213" s="7">
        <f t="shared" si="106"/>
        <v>31.816650390625</v>
      </c>
      <c r="AY213" s="7">
        <f t="shared" si="107"/>
        <v>-0.7134672175180472</v>
      </c>
      <c r="AZ213" s="7">
        <v>114</v>
      </c>
    </row>
    <row r="214" spans="49:52" ht="12.75">
      <c r="AW214" s="7">
        <f t="shared" si="108"/>
        <v>5.690212673611111</v>
      </c>
      <c r="AX214" s="7">
        <f aca="true" t="shared" si="109" ref="AX214:AX229">_Fn2cc^2</f>
        <v>32.378520270924504</v>
      </c>
      <c r="AY214" s="7">
        <f aca="true" t="shared" si="110" ref="AY214:AY229">10*LOG(_Fn4cc^2/((_Fn4cc-_Cm*_Fn2cc+_Am)^2+_Fn2cc*(_Dm*_Fn2cc-_Bm)^2))</f>
        <v>-0.7095332756410058</v>
      </c>
      <c r="AZ214" s="11">
        <f>AZ213+0.5</f>
        <v>114.5</v>
      </c>
    </row>
    <row r="215" spans="49:52" ht="12.75">
      <c r="AW215" s="7">
        <f aca="true" t="shared" si="111" ref="AW215:AW230">(Fcc/Fs)^2</f>
        <v>5.740017361111112</v>
      </c>
      <c r="AX215" s="7">
        <f t="shared" si="109"/>
        <v>32.94779930585697</v>
      </c>
      <c r="AY215" s="7">
        <f t="shared" si="110"/>
        <v>-0.7056246784240078</v>
      </c>
      <c r="AZ215" s="7">
        <v>115</v>
      </c>
    </row>
    <row r="216" spans="49:52" ht="12.75">
      <c r="AW216" s="7">
        <f t="shared" si="111"/>
        <v>5.7900390625</v>
      </c>
      <c r="AX216" s="7">
        <f t="shared" si="109"/>
        <v>33.52455234527588</v>
      </c>
      <c r="AY216" s="7">
        <f t="shared" si="110"/>
        <v>-0.7017412378734046</v>
      </c>
      <c r="AZ216" s="11">
        <f>AZ215+0.5</f>
        <v>115.5</v>
      </c>
    </row>
    <row r="217" spans="49:52" ht="12.75">
      <c r="AW217" s="7">
        <f t="shared" si="111"/>
        <v>5.840277777777777</v>
      </c>
      <c r="AX217" s="7">
        <f t="shared" si="109"/>
        <v>34.10884452160493</v>
      </c>
      <c r="AY217" s="7">
        <f t="shared" si="110"/>
        <v>-0.6978827718458032</v>
      </c>
      <c r="AZ217" s="7">
        <v>116</v>
      </c>
    </row>
    <row r="218" spans="49:52" ht="12.75">
      <c r="AW218" s="7">
        <f t="shared" si="111"/>
        <v>5.8907335069444455</v>
      </c>
      <c r="AX218" s="7">
        <f t="shared" si="109"/>
        <v>34.700741249838</v>
      </c>
      <c r="AY218" s="7">
        <f t="shared" si="110"/>
        <v>-0.6940491035818835</v>
      </c>
      <c r="AZ218" s="11">
        <f>AZ217+0.5</f>
        <v>116.5</v>
      </c>
    </row>
    <row r="219" spans="49:52" ht="12.75">
      <c r="AW219" s="7">
        <f t="shared" si="111"/>
        <v>5.94140625</v>
      </c>
      <c r="AX219" s="7">
        <f t="shared" si="109"/>
        <v>35.30030822753906</v>
      </c>
      <c r="AY219" s="7">
        <f t="shared" si="110"/>
        <v>-0.6902400612745911</v>
      </c>
      <c r="AZ219" s="7">
        <v>117</v>
      </c>
    </row>
    <row r="220" spans="49:52" ht="12.75">
      <c r="AW220" s="7">
        <f t="shared" si="111"/>
        <v>5.992296006944444</v>
      </c>
      <c r="AX220" s="7">
        <f t="shared" si="109"/>
        <v>35.90761143484232</v>
      </c>
      <c r="AY220" s="7">
        <f t="shared" si="110"/>
        <v>-0.6864554776693799</v>
      </c>
      <c r="AZ220" s="11">
        <f>AZ219+0.5</f>
        <v>117.5</v>
      </c>
    </row>
    <row r="221" spans="49:52" ht="12.75">
      <c r="AW221" s="7">
        <f t="shared" si="111"/>
        <v>6.043402777777779</v>
      </c>
      <c r="AX221" s="7">
        <f t="shared" si="109"/>
        <v>36.52271713445217</v>
      </c>
      <c r="AY221" s="7">
        <f t="shared" si="110"/>
        <v>-0.6826951896942547</v>
      </c>
      <c r="AZ221" s="7">
        <v>118</v>
      </c>
    </row>
    <row r="222" spans="49:52" ht="12.75">
      <c r="AW222" s="7">
        <f t="shared" si="111"/>
        <v>6.0947265625</v>
      </c>
      <c r="AX222" s="7">
        <f t="shared" si="109"/>
        <v>37.145691871643066</v>
      </c>
      <c r="AY222" s="7">
        <f t="shared" si="110"/>
        <v>-0.6789590381176174</v>
      </c>
      <c r="AZ222" s="11">
        <f>AZ221+0.5</f>
        <v>118.5</v>
      </c>
    </row>
    <row r="223" spans="49:52" ht="12.75">
      <c r="AW223" s="7">
        <f t="shared" si="111"/>
        <v>6.146267361111111</v>
      </c>
      <c r="AX223" s="7">
        <f t="shared" si="109"/>
        <v>37.77660247425974</v>
      </c>
      <c r="AY223" s="7">
        <f t="shared" si="110"/>
        <v>-0.6752468672319422</v>
      </c>
      <c r="AZ223" s="7">
        <v>119</v>
      </c>
    </row>
    <row r="224" spans="49:52" ht="12.75">
      <c r="AW224" s="7">
        <f t="shared" si="111"/>
        <v>6.198025173611112</v>
      </c>
      <c r="AX224" s="7">
        <f t="shared" si="109"/>
        <v>38.41551605271705</v>
      </c>
      <c r="AY224" s="7">
        <f t="shared" si="110"/>
        <v>-0.6715585245615416</v>
      </c>
      <c r="AZ224" s="11">
        <f>AZ223+0.5</f>
        <v>119.5</v>
      </c>
    </row>
    <row r="225" spans="49:52" ht="12.75">
      <c r="AW225" s="7">
        <f t="shared" si="111"/>
        <v>6.25</v>
      </c>
      <c r="AX225" s="7">
        <f t="shared" si="109"/>
        <v>39.0625</v>
      </c>
      <c r="AY225" s="7">
        <f t="shared" si="110"/>
        <v>-0.6678938605927197</v>
      </c>
      <c r="AZ225" s="7">
        <v>120</v>
      </c>
    </row>
    <row r="226" spans="49:52" ht="12.75">
      <c r="AW226" s="7">
        <f t="shared" si="111"/>
        <v>6.302191840277777</v>
      </c>
      <c r="AX226" s="7">
        <f t="shared" si="109"/>
        <v>39.71762199166379</v>
      </c>
      <c r="AY226" s="7">
        <f t="shared" si="110"/>
        <v>-0.6642527285247906</v>
      </c>
      <c r="AZ226" s="11">
        <f>AZ225+0.5</f>
        <v>120.5</v>
      </c>
    </row>
    <row r="227" spans="49:52" ht="12.75">
      <c r="AW227" s="7">
        <f t="shared" si="111"/>
        <v>6.3546006944444455</v>
      </c>
      <c r="AX227" s="7">
        <f t="shared" si="109"/>
        <v>40.38094998583383</v>
      </c>
      <c r="AY227" s="7">
        <f t="shared" si="110"/>
        <v>-0.6606349840404903</v>
      </c>
      <c r="AZ227" s="7">
        <v>121</v>
      </c>
    </row>
    <row r="228" spans="49:52" ht="12.75">
      <c r="AW228" s="7">
        <f t="shared" si="111"/>
        <v>6.4072265625</v>
      </c>
      <c r="AX228" s="7">
        <f t="shared" si="109"/>
        <v>41.052552223205566</v>
      </c>
      <c r="AY228" s="7">
        <f t="shared" si="110"/>
        <v>-0.6570404850944593</v>
      </c>
      <c r="AZ228" s="11">
        <f>AZ227+0.5</f>
        <v>121.5</v>
      </c>
    </row>
    <row r="229" spans="49:52" ht="12.75">
      <c r="AW229" s="7">
        <f t="shared" si="111"/>
        <v>6.460069444444444</v>
      </c>
      <c r="AX229" s="7">
        <f t="shared" si="109"/>
        <v>41.732497227044746</v>
      </c>
      <c r="AY229" s="7">
        <f t="shared" si="110"/>
        <v>-0.6534690917184821</v>
      </c>
      <c r="AZ229" s="7">
        <v>122</v>
      </c>
    </row>
    <row r="230" spans="49:52" ht="12.75">
      <c r="AW230" s="7">
        <f t="shared" si="111"/>
        <v>6.513129340277779</v>
      </c>
      <c r="AX230" s="7">
        <f aca="true" t="shared" si="112" ref="AX230:AX245">_Fn2cc^2</f>
        <v>42.42085380318725</v>
      </c>
      <c r="AY230" s="7">
        <f aca="true" t="shared" si="113" ref="AY230:AY245">10*LOG(_Fn4cc^2/((_Fn4cc-_Cm*_Fn2cc+_Am)^2+_Fn2cc*(_Dm*_Fn2cc-_Bm)^2))</f>
        <v>-0.6499206658423845</v>
      </c>
      <c r="AZ230" s="11">
        <f>AZ229+0.5</f>
        <v>122.5</v>
      </c>
    </row>
    <row r="231" spans="49:52" ht="12.75">
      <c r="AW231" s="7">
        <f aca="true" t="shared" si="114" ref="AW231:AW246">(Fcc/Fs)^2</f>
        <v>6.56640625</v>
      </c>
      <c r="AX231" s="7">
        <f t="shared" si="112"/>
        <v>43.11769104003906</v>
      </c>
      <c r="AY231" s="7">
        <f t="shared" si="113"/>
        <v>-0.6463950711294218</v>
      </c>
      <c r="AZ231" s="7">
        <v>123</v>
      </c>
    </row>
    <row r="232" spans="49:52" ht="12.75">
      <c r="AW232" s="7">
        <f t="shared" si="114"/>
        <v>6.619900173611111</v>
      </c>
      <c r="AX232" s="7">
        <f t="shared" si="112"/>
        <v>43.82307830857641</v>
      </c>
      <c r="AY232" s="7">
        <f t="shared" si="113"/>
        <v>-0.6428921728251735</v>
      </c>
      <c r="AZ232" s="11">
        <f>AZ231+0.5</f>
        <v>123.5</v>
      </c>
    </row>
    <row r="233" spans="49:52" ht="12.75">
      <c r="AW233" s="7">
        <f t="shared" si="114"/>
        <v>6.673611111111112</v>
      </c>
      <c r="AX233" s="7">
        <f t="shared" si="112"/>
        <v>44.537085262345684</v>
      </c>
      <c r="AY233" s="7">
        <f t="shared" si="113"/>
        <v>-0.6394118376189875</v>
      </c>
      <c r="AZ233" s="7">
        <v>124</v>
      </c>
    </row>
    <row r="234" spans="49:52" ht="12.75">
      <c r="AW234" s="7">
        <f t="shared" si="114"/>
        <v>6.7275390625</v>
      </c>
      <c r="AX234" s="7">
        <f t="shared" si="112"/>
        <v>45.25978183746338</v>
      </c>
      <c r="AY234" s="7">
        <f t="shared" si="113"/>
        <v>-0.6359539335170693</v>
      </c>
      <c r="AZ234" s="11">
        <f>AZ233+0.5</f>
        <v>124.5</v>
      </c>
    </row>
    <row r="235" spans="49:52" ht="12.75">
      <c r="AW235" s="7">
        <f t="shared" si="114"/>
        <v>6.781684027777777</v>
      </c>
      <c r="AX235" s="7">
        <f t="shared" si="112"/>
        <v>45.991238252616206</v>
      </c>
      <c r="AY235" s="7">
        <f t="shared" si="113"/>
        <v>-0.632518329726408</v>
      </c>
      <c r="AZ235" s="7">
        <v>125</v>
      </c>
    </row>
    <row r="236" spans="49:52" ht="12.75">
      <c r="AW236" s="7">
        <f t="shared" si="114"/>
        <v>6.8360460069444455</v>
      </c>
      <c r="AX236" s="7">
        <f t="shared" si="112"/>
        <v>46.7315250090611</v>
      </c>
      <c r="AY236" s="7">
        <f t="shared" si="113"/>
        <v>-0.6291048965487269</v>
      </c>
      <c r="AZ236" s="11">
        <f>AZ235+0.5</f>
        <v>125.5</v>
      </c>
    </row>
    <row r="237" spans="49:52" ht="12.75">
      <c r="AW237" s="7">
        <f t="shared" si="114"/>
        <v>6.890625</v>
      </c>
      <c r="AX237" s="7">
        <f t="shared" si="112"/>
        <v>47.480712890625</v>
      </c>
      <c r="AY237" s="7">
        <f t="shared" si="113"/>
        <v>-0.6257135052838115</v>
      </c>
      <c r="AZ237" s="7">
        <v>126</v>
      </c>
    </row>
    <row r="238" spans="49:52" ht="12.75">
      <c r="AW238" s="7">
        <f t="shared" si="114"/>
        <v>6.945421006944444</v>
      </c>
      <c r="AX238" s="7">
        <f t="shared" si="112"/>
        <v>48.23887296370517</v>
      </c>
      <c r="AY238" s="7">
        <f t="shared" si="113"/>
        <v>-0.6223440281414201</v>
      </c>
      <c r="AZ238" s="11">
        <f>AZ237+0.5</f>
        <v>126.5</v>
      </c>
    </row>
    <row r="239" spans="49:52" ht="12.75">
      <c r="AW239" s="7">
        <f t="shared" si="114"/>
        <v>7.000434027777779</v>
      </c>
      <c r="AX239" s="7">
        <f t="shared" si="112"/>
        <v>49.00607657726901</v>
      </c>
      <c r="AY239" s="7">
        <f t="shared" si="113"/>
        <v>-0.618996338161302</v>
      </c>
      <c r="AZ239" s="7">
        <v>127</v>
      </c>
    </row>
    <row r="240" spans="49:52" ht="12.75">
      <c r="AW240" s="7">
        <f t="shared" si="114"/>
        <v>7.0556640625</v>
      </c>
      <c r="AX240" s="7">
        <f t="shared" si="112"/>
        <v>49.782395362854004</v>
      </c>
      <c r="AY240" s="7">
        <f t="shared" si="113"/>
        <v>-0.6156703091405904</v>
      </c>
      <c r="AZ240" s="11">
        <f>AZ239+0.5</f>
        <v>127.5</v>
      </c>
    </row>
    <row r="241" spans="49:52" ht="12.75">
      <c r="AW241" s="7">
        <f t="shared" si="114"/>
        <v>7.111111111111111</v>
      </c>
      <c r="AX241" s="7">
        <f t="shared" si="112"/>
        <v>50.5679012345679</v>
      </c>
      <c r="AY241" s="7">
        <f t="shared" si="113"/>
        <v>-0.6123658155681324</v>
      </c>
      <c r="AZ241" s="7">
        <v>128</v>
      </c>
    </row>
    <row r="242" spans="49:52" ht="12.75">
      <c r="AW242" s="7">
        <f t="shared" si="114"/>
        <v>7.166775173611112</v>
      </c>
      <c r="AX242" s="7">
        <f t="shared" si="112"/>
        <v>51.36266638908858</v>
      </c>
      <c r="AY242" s="7">
        <f t="shared" si="113"/>
        <v>-0.6090827325651816</v>
      </c>
      <c r="AZ242" s="11">
        <f>AZ241+0.5</f>
        <v>128.5</v>
      </c>
    </row>
    <row r="243" spans="49:52" ht="12.75">
      <c r="AW243" s="7">
        <f t="shared" si="114"/>
        <v>7.22265625</v>
      </c>
      <c r="AX243" s="7">
        <f t="shared" si="112"/>
        <v>52.16676330566406</v>
      </c>
      <c r="AY243" s="7">
        <f t="shared" si="113"/>
        <v>-0.6058209358320158</v>
      </c>
      <c r="AZ243" s="7">
        <v>129</v>
      </c>
    </row>
    <row r="244" spans="49:52" ht="12.75">
      <c r="AW244" s="7">
        <f t="shared" si="114"/>
        <v>7.278754340277777</v>
      </c>
      <c r="AX244" s="7">
        <f t="shared" si="112"/>
        <v>52.980264746112574</v>
      </c>
      <c r="AY244" s="7">
        <f t="shared" si="113"/>
        <v>-0.6025803016000135</v>
      </c>
      <c r="AZ244" s="11">
        <f>AZ243+0.5</f>
        <v>129.5</v>
      </c>
    </row>
    <row r="245" spans="49:52" ht="12.75">
      <c r="AW245" s="7">
        <f t="shared" si="114"/>
        <v>7.3350694444444455</v>
      </c>
      <c r="AX245" s="7">
        <f t="shared" si="112"/>
        <v>53.803243754822546</v>
      </c>
      <c r="AY245" s="7">
        <f t="shared" si="113"/>
        <v>-0.5993607065887954</v>
      </c>
      <c r="AZ245" s="7">
        <v>130</v>
      </c>
    </row>
    <row r="246" spans="49:52" ht="12.75">
      <c r="AW246" s="7">
        <f t="shared" si="114"/>
        <v>7.3916015625</v>
      </c>
      <c r="AX246" s="7">
        <f aca="true" t="shared" si="115" ref="AX246:AX261">_Fn2cc^2</f>
        <v>54.63577365875244</v>
      </c>
      <c r="AY246" s="7">
        <f aca="true" t="shared" si="116" ref="AY246:AY261">10*LOG(_Fn4cc^2/((_Fn4cc-_Cm*_Fn2cc+_Am)^2+_Fn2cc*(_Dm*_Fn2cc-_Bm)^2))</f>
        <v>-0.5961620279680245</v>
      </c>
      <c r="AZ246" s="11">
        <f>AZ245+0.5</f>
        <v>130.5</v>
      </c>
    </row>
    <row r="247" spans="49:52" ht="12.75">
      <c r="AW247" s="7">
        <f aca="true" t="shared" si="117" ref="AW247:AW262">(Fcc/Fs)^2</f>
        <v>7.448350694444444</v>
      </c>
      <c r="AX247" s="7">
        <f t="shared" si="115"/>
        <v>55.47792806743103</v>
      </c>
      <c r="AY247" s="7">
        <f t="shared" si="116"/>
        <v>-0.5929841433235297</v>
      </c>
      <c r="AZ247" s="7">
        <v>131</v>
      </c>
    </row>
    <row r="248" spans="49:52" ht="12.75">
      <c r="AW248" s="7">
        <f t="shared" si="117"/>
        <v>7.505316840277779</v>
      </c>
      <c r="AX248" s="7">
        <f t="shared" si="115"/>
        <v>56.329780872957215</v>
      </c>
      <c r="AY248" s="7">
        <f t="shared" si="116"/>
        <v>-0.5898269306274052</v>
      </c>
      <c r="AZ248" s="11">
        <f>AZ247+0.5</f>
        <v>131.5</v>
      </c>
    </row>
    <row r="249" spans="49:52" ht="12.75">
      <c r="AW249" s="7">
        <f t="shared" si="117"/>
        <v>7.5625</v>
      </c>
      <c r="AX249" s="7">
        <f t="shared" si="115"/>
        <v>57.19140625</v>
      </c>
      <c r="AY249" s="7">
        <f t="shared" si="116"/>
        <v>-0.5866902682117738</v>
      </c>
      <c r="AZ249" s="7">
        <v>132</v>
      </c>
    </row>
    <row r="250" spans="49:52" ht="12.75">
      <c r="AW250" s="7">
        <f t="shared" si="117"/>
        <v>7.619900173611111</v>
      </c>
      <c r="AX250" s="7">
        <f t="shared" si="115"/>
        <v>58.062878655798634</v>
      </c>
      <c r="AY250" s="7">
        <f t="shared" si="116"/>
        <v>-0.5835740347459271</v>
      </c>
      <c r="AZ250" s="11">
        <f>AZ249+0.5</f>
        <v>132.5</v>
      </c>
    </row>
    <row r="251" spans="49:52" ht="12.75">
      <c r="AW251" s="7">
        <f t="shared" si="117"/>
        <v>7.677517361111112</v>
      </c>
      <c r="AX251" s="7">
        <f t="shared" si="115"/>
        <v>58.944272830162525</v>
      </c>
      <c r="AY251" s="7">
        <f t="shared" si="116"/>
        <v>-0.5804781092165778</v>
      </c>
      <c r="AZ251" s="7">
        <v>133</v>
      </c>
    </row>
    <row r="252" spans="49:52" ht="12.75">
      <c r="AW252" s="7">
        <f t="shared" si="117"/>
        <v>7.7353515625</v>
      </c>
      <c r="AX252" s="7">
        <f t="shared" si="115"/>
        <v>59.83566379547119</v>
      </c>
      <c r="AY252" s="7">
        <f t="shared" si="116"/>
        <v>-0.5774023709109651</v>
      </c>
      <c r="AZ252" s="11">
        <f>AZ251+0.5</f>
        <v>133.5</v>
      </c>
    </row>
    <row r="253" spans="49:52" ht="12.75">
      <c r="AW253" s="7">
        <f t="shared" si="117"/>
        <v>7.793402777777777</v>
      </c>
      <c r="AX253" s="7">
        <f t="shared" si="115"/>
        <v>60.737126856674365</v>
      </c>
      <c r="AY253" s="7">
        <f t="shared" si="116"/>
        <v>-0.5743466994025821</v>
      </c>
      <c r="AZ253" s="7">
        <v>134</v>
      </c>
    </row>
    <row r="254" spans="49:52" ht="12.75">
      <c r="AW254" s="7">
        <f t="shared" si="117"/>
        <v>7.8516710069444455</v>
      </c>
      <c r="AX254" s="7">
        <f t="shared" si="115"/>
        <v>61.648737601292005</v>
      </c>
      <c r="AY254" s="7">
        <f t="shared" si="116"/>
        <v>-0.5713109745393027</v>
      </c>
      <c r="AZ254" s="11">
        <f>AZ253+0.5</f>
        <v>134.5</v>
      </c>
    </row>
    <row r="255" spans="49:52" ht="12.75">
      <c r="AW255" s="7">
        <f t="shared" si="117"/>
        <v>7.91015625</v>
      </c>
      <c r="AX255" s="7">
        <f t="shared" si="115"/>
        <v>62.57057189941406</v>
      </c>
      <c r="AY255" s="7">
        <f t="shared" si="116"/>
        <v>-0.5682950764337171</v>
      </c>
      <c r="AZ255" s="7">
        <v>135</v>
      </c>
    </row>
    <row r="256" spans="49:52" ht="12.75">
      <c r="AW256" s="7">
        <f t="shared" si="117"/>
        <v>7.968858506944444</v>
      </c>
      <c r="AX256" s="7">
        <f t="shared" si="115"/>
        <v>63.50270590370083</v>
      </c>
      <c r="AY256" s="7">
        <f t="shared" si="116"/>
        <v>-0.5652988854554745</v>
      </c>
      <c r="AZ256" s="11">
        <f>AZ255+0.5</f>
        <v>135.5</v>
      </c>
    </row>
    <row r="257" spans="49:52" ht="12.75">
      <c r="AW257" s="7">
        <f t="shared" si="117"/>
        <v>8.027777777777779</v>
      </c>
      <c r="AX257" s="7">
        <f t="shared" si="115"/>
        <v>64.44521604938272</v>
      </c>
      <c r="AY257" s="7">
        <f t="shared" si="116"/>
        <v>-0.5623222822254712</v>
      </c>
      <c r="AZ257" s="7">
        <v>136</v>
      </c>
    </row>
    <row r="258" spans="49:52" ht="12.75">
      <c r="AW258" s="7">
        <f t="shared" si="117"/>
        <v>8.0869140625</v>
      </c>
      <c r="AX258" s="7">
        <f t="shared" si="115"/>
        <v>65.39817905426025</v>
      </c>
      <c r="AY258" s="7">
        <f t="shared" si="116"/>
        <v>-0.5593651476116867</v>
      </c>
      <c r="AZ258" s="11">
        <f>AZ257+0.5</f>
        <v>136.5</v>
      </c>
    </row>
    <row r="259" spans="49:52" ht="12.75">
      <c r="AW259" s="7">
        <f t="shared" si="117"/>
        <v>8.14626736111111</v>
      </c>
      <c r="AX259" s="7">
        <f t="shared" si="115"/>
        <v>66.36167191870418</v>
      </c>
      <c r="AY259" s="7">
        <f t="shared" si="116"/>
        <v>-0.556427362726588</v>
      </c>
      <c r="AZ259" s="7">
        <v>137</v>
      </c>
    </row>
    <row r="260" spans="49:52" ht="12.75">
      <c r="AW260" s="7">
        <f t="shared" si="117"/>
        <v>8.205837673611112</v>
      </c>
      <c r="AX260" s="7">
        <f t="shared" si="115"/>
        <v>67.33577192565544</v>
      </c>
      <c r="AY260" s="7">
        <f t="shared" si="116"/>
        <v>-0.5535088089258628</v>
      </c>
      <c r="AZ260" s="11">
        <f>AZ259+0.5</f>
        <v>137.5</v>
      </c>
    </row>
    <row r="261" spans="49:52" ht="12.75">
      <c r="AW261" s="7">
        <f t="shared" si="117"/>
        <v>8.265625</v>
      </c>
      <c r="AX261" s="7">
        <f t="shared" si="115"/>
        <v>68.320556640625</v>
      </c>
      <c r="AY261" s="7">
        <f t="shared" si="116"/>
        <v>-0.5506093678084543</v>
      </c>
      <c r="AZ261" s="7">
        <v>138</v>
      </c>
    </row>
    <row r="262" spans="49:52" ht="12.75">
      <c r="AW262" s="7">
        <f t="shared" si="117"/>
        <v>8.325629340277777</v>
      </c>
      <c r="AX262" s="7">
        <f aca="true" t="shared" si="118" ref="AX262:AX277">_Fn2cc^2</f>
        <v>69.31610391169417</v>
      </c>
      <c r="AY262" s="7">
        <f aca="true" t="shared" si="119" ref="AY262:AY277">10*LOG(_Fn4cc^2/((_Fn4cc-_Cm*_Fn2cc+_Am)^2+_Fn2cc*(_Dm*_Fn2cc-_Bm)^2))</f>
        <v>-0.5477289212176801</v>
      </c>
      <c r="AZ262" s="11">
        <f>AZ261+0.5</f>
        <v>138.5</v>
      </c>
    </row>
    <row r="263" spans="49:52" ht="12.75">
      <c r="AW263" s="7">
        <f aca="true" t="shared" si="120" ref="AW263:AW278">(Fcc/Fs)^2</f>
        <v>8.385850694444445</v>
      </c>
      <c r="AX263" s="7">
        <f t="shared" si="118"/>
        <v>70.32249186951438</v>
      </c>
      <c r="AY263" s="7">
        <f t="shared" si="119"/>
        <v>-0.544867351243403</v>
      </c>
      <c r="AZ263" s="7">
        <v>139</v>
      </c>
    </row>
    <row r="264" spans="49:52" ht="12.75">
      <c r="AW264" s="7">
        <f t="shared" si="120"/>
        <v>8.4462890625</v>
      </c>
      <c r="AX264" s="7">
        <f t="shared" si="118"/>
        <v>71.33979892730713</v>
      </c>
      <c r="AY264" s="7">
        <f t="shared" si="119"/>
        <v>-0.5420245402250963</v>
      </c>
      <c r="AZ264" s="11">
        <f>AZ263+0.5</f>
        <v>139.5</v>
      </c>
    </row>
    <row r="265" spans="49:52" ht="12.75">
      <c r="AW265" s="7">
        <f t="shared" si="120"/>
        <v>8.506944444444443</v>
      </c>
      <c r="AX265" s="7">
        <f t="shared" si="118"/>
        <v>72.36810378086417</v>
      </c>
      <c r="AY265" s="7">
        <f t="shared" si="119"/>
        <v>-0.5392003707557261</v>
      </c>
      <c r="AZ265" s="7">
        <v>140</v>
      </c>
    </row>
    <row r="266" spans="49:52" ht="12.75">
      <c r="AW266" s="7">
        <f t="shared" si="120"/>
        <v>8.567816840277779</v>
      </c>
      <c r="AX266" s="7">
        <f t="shared" si="118"/>
        <v>73.4074854085475</v>
      </c>
      <c r="AY266" s="7">
        <f t="shared" si="119"/>
        <v>-0.5363947256863695</v>
      </c>
      <c r="AZ266" s="11">
        <f>AZ265+0.5</f>
        <v>140.5</v>
      </c>
    </row>
    <row r="267" spans="49:52" ht="12.75">
      <c r="AW267" s="7">
        <f t="shared" si="120"/>
        <v>8.62890625</v>
      </c>
      <c r="AX267" s="7">
        <f t="shared" si="118"/>
        <v>74.45802307128906</v>
      </c>
      <c r="AY267" s="7">
        <f t="shared" si="119"/>
        <v>-0.5336074881314616</v>
      </c>
      <c r="AZ267" s="7">
        <v>141</v>
      </c>
    </row>
    <row r="268" spans="49:52" ht="12.75">
      <c r="AW268" s="7">
        <f t="shared" si="120"/>
        <v>8.69021267361111</v>
      </c>
      <c r="AX268" s="7">
        <f t="shared" si="118"/>
        <v>75.51979631259117</v>
      </c>
      <c r="AY268" s="7">
        <f t="shared" si="119"/>
        <v>-0.5308385414746273</v>
      </c>
      <c r="AZ268" s="11">
        <f>AZ267+0.5</f>
        <v>141.5</v>
      </c>
    </row>
    <row r="269" spans="49:52" ht="12.75">
      <c r="AW269" s="7">
        <f t="shared" si="120"/>
        <v>8.751736111111112</v>
      </c>
      <c r="AX269" s="7">
        <f t="shared" si="118"/>
        <v>76.59288495852626</v>
      </c>
      <c r="AY269" s="7">
        <f t="shared" si="119"/>
        <v>-0.5280877693749869</v>
      </c>
      <c r="AZ269" s="7">
        <v>142</v>
      </c>
    </row>
    <row r="270" spans="49:52" ht="12.75">
      <c r="AW270" s="7">
        <f t="shared" si="120"/>
        <v>8.8134765625</v>
      </c>
      <c r="AX270" s="7">
        <f t="shared" si="118"/>
        <v>77.67736911773682</v>
      </c>
      <c r="AY270" s="7">
        <f t="shared" si="119"/>
        <v>-0.5253550557739096</v>
      </c>
      <c r="AZ270" s="11">
        <f>AZ269+0.5</f>
        <v>142.5</v>
      </c>
    </row>
    <row r="271" spans="49:52" ht="12.75">
      <c r="AW271" s="7">
        <f t="shared" si="120"/>
        <v>8.875434027777777</v>
      </c>
      <c r="AX271" s="7">
        <f t="shared" si="118"/>
        <v>78.77332918143566</v>
      </c>
      <c r="AY271" s="7">
        <f t="shared" si="119"/>
        <v>-0.522640284902127</v>
      </c>
      <c r="AZ271" s="7">
        <v>143</v>
      </c>
    </row>
    <row r="272" spans="49:52" ht="12.75">
      <c r="AW272" s="7">
        <f t="shared" si="120"/>
        <v>8.937608506944445</v>
      </c>
      <c r="AX272" s="7">
        <f t="shared" si="118"/>
        <v>79.8808458234057</v>
      </c>
      <c r="AY272" s="7">
        <f t="shared" si="119"/>
        <v>-0.5199433412871648</v>
      </c>
      <c r="AZ272" s="11">
        <f>AZ271+0.5</f>
        <v>143.5</v>
      </c>
    </row>
    <row r="273" spans="49:52" ht="12.75">
      <c r="AW273" s="7">
        <f t="shared" si="120"/>
        <v>9</v>
      </c>
      <c r="AX273" s="7">
        <f t="shared" si="118"/>
        <v>81</v>
      </c>
      <c r="AY273" s="7">
        <f t="shared" si="119"/>
        <v>-0.5172641097610294</v>
      </c>
      <c r="AZ273" s="7">
        <v>144</v>
      </c>
    </row>
    <row r="274" spans="49:52" ht="12.75">
      <c r="AW274" s="7">
        <f t="shared" si="120"/>
        <v>9.062608506944443</v>
      </c>
      <c r="AX274" s="7">
        <f t="shared" si="118"/>
        <v>82.13087295014178</v>
      </c>
      <c r="AY274" s="7">
        <f t="shared" si="119"/>
        <v>-0.5146024754681171</v>
      </c>
      <c r="AZ274" s="11">
        <f>AZ273+0.5</f>
        <v>144.5</v>
      </c>
    </row>
    <row r="275" spans="49:52" ht="12.75">
      <c r="AW275" s="7">
        <f t="shared" si="120"/>
        <v>9.125434027777779</v>
      </c>
      <c r="AX275" s="7">
        <f t="shared" si="118"/>
        <v>83.27354619532457</v>
      </c>
      <c r="AY275" s="7">
        <f t="shared" si="119"/>
        <v>-0.5119583238732945</v>
      </c>
      <c r="AZ275" s="7">
        <v>145</v>
      </c>
    </row>
    <row r="276" spans="49:52" ht="12.75">
      <c r="AW276" s="7">
        <f t="shared" si="120"/>
        <v>9.1884765625</v>
      </c>
      <c r="AX276" s="7">
        <f t="shared" si="118"/>
        <v>84.42810153961182</v>
      </c>
      <c r="AY276" s="7">
        <f t="shared" si="119"/>
        <v>-0.5093315407700979</v>
      </c>
      <c r="AZ276" s="11">
        <f>AZ275+0.5</f>
        <v>145.5</v>
      </c>
    </row>
    <row r="277" spans="49:52" ht="12.75">
      <c r="AW277" s="7">
        <f t="shared" si="120"/>
        <v>9.25173611111111</v>
      </c>
      <c r="AX277" s="7">
        <f t="shared" si="118"/>
        <v>85.59462106963734</v>
      </c>
      <c r="AY277" s="7">
        <f t="shared" si="119"/>
        <v>-0.5067220122890452</v>
      </c>
      <c r="AZ277" s="7">
        <v>146</v>
      </c>
    </row>
    <row r="278" spans="49:52" ht="12.75">
      <c r="AW278" s="7">
        <f t="shared" si="120"/>
        <v>9.315212673611112</v>
      </c>
      <c r="AX278" s="7">
        <f aca="true" t="shared" si="121" ref="AX278:AX293">_Fn2cc^2</f>
        <v>86.7731871546051</v>
      </c>
      <c r="AY278" s="7">
        <f aca="true" t="shared" si="122" ref="AY278:AY293">10*LOG(_Fn4cc^2/((_Fn4cc-_Cm*_Fn2cc+_Am)^2+_Fn2cc*(_Dm*_Fn2cc-_Bm)^2))</f>
        <v>-0.5041296249059947</v>
      </c>
      <c r="AZ278" s="11">
        <f>AZ277+0.5</f>
        <v>146.5</v>
      </c>
    </row>
    <row r="279" spans="49:52" ht="12.75">
      <c r="AW279" s="7">
        <f aca="true" t="shared" si="123" ref="AW279:AW294">(Fcc/Fs)^2</f>
        <v>9.37890625</v>
      </c>
      <c r="AX279" s="7">
        <f t="shared" si="121"/>
        <v>87.96388244628906</v>
      </c>
      <c r="AY279" s="7">
        <f t="shared" si="122"/>
        <v>-0.5015542654505368</v>
      </c>
      <c r="AZ279" s="7">
        <v>147</v>
      </c>
    </row>
    <row r="280" spans="49:52" ht="12.75">
      <c r="AW280" s="7">
        <f t="shared" si="123"/>
        <v>9.442816840277777</v>
      </c>
      <c r="AX280" s="7">
        <f t="shared" si="121"/>
        <v>89.16678987903357</v>
      </c>
      <c r="AY280" s="7">
        <f t="shared" si="122"/>
        <v>-0.4989958211143971</v>
      </c>
      <c r="AZ280" s="11">
        <f>AZ279+0.5</f>
        <v>147.5</v>
      </c>
    </row>
    <row r="281" spans="49:52" ht="12.75">
      <c r="AW281" s="7">
        <f t="shared" si="123"/>
        <v>9.506944444444445</v>
      </c>
      <c r="AX281" s="7">
        <f t="shared" si="121"/>
        <v>90.38199266975309</v>
      </c>
      <c r="AY281" s="7">
        <f t="shared" si="122"/>
        <v>-0.4964541794597992</v>
      </c>
      <c r="AZ281" s="7">
        <v>148</v>
      </c>
    </row>
    <row r="282" spans="49:52" ht="12.75">
      <c r="AW282" s="7">
        <f t="shared" si="123"/>
        <v>9.5712890625</v>
      </c>
      <c r="AX282" s="7">
        <f t="shared" si="121"/>
        <v>91.60957431793213</v>
      </c>
      <c r="AY282" s="7">
        <f t="shared" si="122"/>
        <v>-0.4939292284278025</v>
      </c>
      <c r="AZ282" s="11">
        <f>AZ281+0.5</f>
        <v>148.5</v>
      </c>
    </row>
    <row r="283" spans="49:52" ht="12.75">
      <c r="AW283" s="7">
        <f t="shared" si="123"/>
        <v>9.635850694444443</v>
      </c>
      <c r="AX283" s="7">
        <f t="shared" si="121"/>
        <v>92.84961860562545</v>
      </c>
      <c r="AY283" s="7">
        <f t="shared" si="122"/>
        <v>-0.49142085634654586</v>
      </c>
      <c r="AZ283" s="7">
        <v>149</v>
      </c>
    </row>
    <row r="284" spans="49:52" ht="12.75">
      <c r="AW284" s="7">
        <f t="shared" si="123"/>
        <v>9.700629340277779</v>
      </c>
      <c r="AX284" s="7">
        <f t="shared" si="121"/>
        <v>94.10220959745808</v>
      </c>
      <c r="AY284" s="7">
        <f t="shared" si="122"/>
        <v>-0.488928951939433</v>
      </c>
      <c r="AZ284" s="11">
        <f>AZ283+0.5</f>
        <v>149.5</v>
      </c>
    </row>
    <row r="285" spans="49:52" ht="12.75">
      <c r="AW285" s="7">
        <f t="shared" si="123"/>
        <v>9.765625</v>
      </c>
      <c r="AX285" s="7">
        <f t="shared" si="121"/>
        <v>95.367431640625</v>
      </c>
      <c r="AY285" s="7">
        <f t="shared" si="122"/>
        <v>-0.486453404333188</v>
      </c>
      <c r="AZ285" s="7">
        <v>150</v>
      </c>
    </row>
    <row r="286" spans="49:52" ht="12.75">
      <c r="AW286" s="7">
        <f t="shared" si="123"/>
        <v>9.83083767361111</v>
      </c>
      <c r="AX286" s="7">
        <f t="shared" si="121"/>
        <v>96.64536936489152</v>
      </c>
      <c r="AY286" s="7">
        <f t="shared" si="122"/>
        <v>-0.48399410306581303</v>
      </c>
      <c r="AZ286" s="11">
        <f>AZ285+0.5</f>
        <v>150.5</v>
      </c>
    </row>
    <row r="287" spans="49:52" ht="12.75">
      <c r="AW287" s="7">
        <f t="shared" si="123"/>
        <v>9.896267361111112</v>
      </c>
      <c r="AX287" s="7">
        <f t="shared" si="121"/>
        <v>97.9361076825931</v>
      </c>
      <c r="AY287" s="7">
        <f t="shared" si="122"/>
        <v>-0.48155093809439115</v>
      </c>
      <c r="AZ287" s="7">
        <v>151</v>
      </c>
    </row>
    <row r="288" spans="49:52" ht="12.75">
      <c r="AW288" s="7">
        <f t="shared" si="123"/>
        <v>9.9619140625</v>
      </c>
      <c r="AX288" s="7">
        <f t="shared" si="121"/>
        <v>99.23973178863525</v>
      </c>
      <c r="AY288" s="7">
        <f t="shared" si="122"/>
        <v>-0.4791237998027719</v>
      </c>
      <c r="AZ288" s="11">
        <f>AZ287+0.5</f>
        <v>151.5</v>
      </c>
    </row>
    <row r="289" spans="49:52" ht="12.75">
      <c r="AW289" s="7">
        <f t="shared" si="123"/>
        <v>10.027777777777777</v>
      </c>
      <c r="AX289" s="7">
        <f t="shared" si="121"/>
        <v>100.55632716049381</v>
      </c>
      <c r="AY289" s="7">
        <f t="shared" si="122"/>
        <v>-0.476712579009061</v>
      </c>
      <c r="AZ289" s="7">
        <v>152</v>
      </c>
    </row>
    <row r="290" spans="49:52" ht="12.75">
      <c r="AW290" s="7">
        <f t="shared" si="123"/>
        <v>10.093858506944445</v>
      </c>
      <c r="AX290" s="7">
        <f t="shared" si="121"/>
        <v>101.88597955821473</v>
      </c>
      <c r="AY290" s="7">
        <f t="shared" si="122"/>
        <v>-0.4743171669729894</v>
      </c>
      <c r="AZ290" s="11">
        <f>AZ289+0.5</f>
        <v>152.5</v>
      </c>
    </row>
    <row r="291" spans="49:52" ht="12.75">
      <c r="AW291" s="7">
        <f t="shared" si="123"/>
        <v>10.16015625</v>
      </c>
      <c r="AX291" s="7">
        <f t="shared" si="121"/>
        <v>103.22877502441406</v>
      </c>
      <c r="AY291" s="7">
        <f t="shared" si="122"/>
        <v>-0.4719374554030639</v>
      </c>
      <c r="AZ291" s="7">
        <v>153</v>
      </c>
    </row>
    <row r="292" spans="49:52" ht="12.75">
      <c r="AW292" s="7">
        <f t="shared" si="123"/>
        <v>10.226671006944443</v>
      </c>
      <c r="AX292" s="7">
        <f t="shared" si="121"/>
        <v>104.58479988427807</v>
      </c>
      <c r="AY292" s="7">
        <f t="shared" si="122"/>
        <v>-0.46957333646356986</v>
      </c>
      <c r="AZ292" s="11">
        <f>AZ291+0.5</f>
        <v>153.5</v>
      </c>
    </row>
    <row r="293" spans="49:52" ht="12.75">
      <c r="AW293" s="7">
        <f t="shared" si="123"/>
        <v>10.293402777777779</v>
      </c>
      <c r="AX293" s="7">
        <f t="shared" si="121"/>
        <v>105.9541407455633</v>
      </c>
      <c r="AY293" s="7">
        <f t="shared" si="122"/>
        <v>-0.46722470278136086</v>
      </c>
      <c r="AZ293" s="7">
        <v>154</v>
      </c>
    </row>
    <row r="294" spans="49:52" ht="12.75">
      <c r="AW294" s="7">
        <f t="shared" si="123"/>
        <v>10.3603515625</v>
      </c>
      <c r="AX294" s="7">
        <f aca="true" t="shared" si="124" ref="AX294:AX309">_Fn2cc^2</f>
        <v>107.33688449859619</v>
      </c>
      <c r="AY294" s="7">
        <f aca="true" t="shared" si="125" ref="AY294:AY309">10*LOG(_Fn4cc^2/((_Fn4cc-_Cm*_Fn2cc+_Am)^2+_Fn2cc*(_Dm*_Fn2cc-_Bm)^2))</f>
        <v>-0.464891447452471</v>
      </c>
      <c r="AZ294" s="11">
        <f>AZ293+0.5</f>
        <v>154.5</v>
      </c>
    </row>
    <row r="295" spans="49:52" ht="12.75">
      <c r="AW295" s="7">
        <f aca="true" t="shared" si="126" ref="AW295:AW310">(Fcc/Fs)^2</f>
        <v>10.42751736111111</v>
      </c>
      <c r="AX295" s="7">
        <f t="shared" si="124"/>
        <v>108.73311831627362</v>
      </c>
      <c r="AY295" s="7">
        <f t="shared" si="125"/>
        <v>-0.46257346404851357</v>
      </c>
      <c r="AZ295" s="7">
        <v>155</v>
      </c>
    </row>
    <row r="296" spans="49:52" ht="12.75">
      <c r="AW296" s="7">
        <f t="shared" si="126"/>
        <v>10.494900173611112</v>
      </c>
      <c r="AX296" s="7">
        <f t="shared" si="124"/>
        <v>110.14292965406256</v>
      </c>
      <c r="AY296" s="7">
        <f t="shared" si="125"/>
        <v>-0.4602706466228914</v>
      </c>
      <c r="AZ296" s="11">
        <f>AZ295+0.5</f>
        <v>155.5</v>
      </c>
    </row>
    <row r="297" spans="49:52" ht="12.75">
      <c r="AW297" s="7">
        <f t="shared" si="126"/>
        <v>10.5625</v>
      </c>
      <c r="AX297" s="7">
        <f t="shared" si="124"/>
        <v>111.56640625</v>
      </c>
      <c r="AY297" s="7">
        <f t="shared" si="125"/>
        <v>-0.4579828897167939</v>
      </c>
      <c r="AZ297" s="7">
        <v>156</v>
      </c>
    </row>
    <row r="298" spans="49:52" ht="12.75">
      <c r="AW298" s="7">
        <f t="shared" si="126"/>
        <v>10.630316840277777</v>
      </c>
      <c r="AX298" s="7">
        <f t="shared" si="124"/>
        <v>113.0036361246933</v>
      </c>
      <c r="AY298" s="7">
        <f t="shared" si="125"/>
        <v>-0.4557100883649807</v>
      </c>
      <c r="AZ298" s="11">
        <f>AZ297+0.5</f>
        <v>156.5</v>
      </c>
    </row>
    <row r="299" spans="49:52" ht="12.75">
      <c r="AW299" s="7">
        <f t="shared" si="126"/>
        <v>10.698350694444445</v>
      </c>
      <c r="AX299" s="7">
        <f t="shared" si="124"/>
        <v>114.45470758131994</v>
      </c>
      <c r="AY299" s="7">
        <f t="shared" si="125"/>
        <v>-0.4534521381013706</v>
      </c>
      <c r="AZ299" s="7">
        <v>157</v>
      </c>
    </row>
    <row r="300" spans="49:52" ht="12.75">
      <c r="AW300" s="7">
        <f t="shared" si="126"/>
        <v>10.7666015625</v>
      </c>
      <c r="AX300" s="7">
        <f t="shared" si="124"/>
        <v>115.91970920562744</v>
      </c>
      <c r="AY300" s="7">
        <f t="shared" si="125"/>
        <v>-0.4512089349644017</v>
      </c>
      <c r="AZ300" s="11">
        <f>AZ299+0.5</f>
        <v>157.5</v>
      </c>
    </row>
    <row r="301" spans="49:52" ht="12.75">
      <c r="AW301" s="7">
        <f t="shared" si="126"/>
        <v>10.835069444444443</v>
      </c>
      <c r="AX301" s="7">
        <f t="shared" si="124"/>
        <v>117.3987298659336</v>
      </c>
      <c r="AY301" s="7">
        <f t="shared" si="125"/>
        <v>-0.44898037550219494</v>
      </c>
      <c r="AZ301" s="7">
        <v>158</v>
      </c>
    </row>
    <row r="302" spans="49:52" ht="12.75">
      <c r="AW302" s="7">
        <f t="shared" si="126"/>
        <v>10.903754340277779</v>
      </c>
      <c r="AX302" s="7">
        <f t="shared" si="124"/>
        <v>118.8918587131265</v>
      </c>
      <c r="AY302" s="7">
        <f t="shared" si="125"/>
        <v>-0.4467663567774933</v>
      </c>
      <c r="AZ302" s="11">
        <f>AZ301+0.5</f>
        <v>158.5</v>
      </c>
    </row>
    <row r="303" spans="49:52" ht="12.75">
      <c r="AW303" s="7">
        <f t="shared" si="126"/>
        <v>10.97265625</v>
      </c>
      <c r="AX303" s="7">
        <f t="shared" si="124"/>
        <v>120.39918518066406</v>
      </c>
      <c r="AY303" s="7">
        <f t="shared" si="125"/>
        <v>-0.4445667763724056</v>
      </c>
      <c r="AZ303" s="7">
        <v>159</v>
      </c>
    </row>
    <row r="304" spans="49:52" ht="12.75">
      <c r="AW304" s="7">
        <f t="shared" si="126"/>
        <v>11.04177517361111</v>
      </c>
      <c r="AX304" s="7">
        <f t="shared" si="124"/>
        <v>121.92079898457467</v>
      </c>
      <c r="AY304" s="7">
        <f t="shared" si="125"/>
        <v>-0.44238153239291467</v>
      </c>
      <c r="AZ304" s="11">
        <f>AZ303+0.5</f>
        <v>159.5</v>
      </c>
    </row>
    <row r="305" spans="49:52" ht="12.75">
      <c r="AW305" s="7">
        <f t="shared" si="126"/>
        <v>11.111111111111112</v>
      </c>
      <c r="AX305" s="7">
        <f t="shared" si="124"/>
        <v>123.45679012345683</v>
      </c>
      <c r="AY305" s="7">
        <f t="shared" si="125"/>
        <v>-0.44021052347320255</v>
      </c>
      <c r="AZ305" s="7">
        <v>160</v>
      </c>
    </row>
    <row r="306" spans="49:52" ht="12.75">
      <c r="AW306" s="7">
        <f t="shared" si="126"/>
        <v>11.1806640625</v>
      </c>
      <c r="AX306" s="7">
        <f t="shared" si="124"/>
        <v>125.007248878479</v>
      </c>
      <c r="AY306" s="7">
        <f t="shared" si="125"/>
        <v>-0.43805364877975084</v>
      </c>
      <c r="AZ306" s="11">
        <f>AZ305+0.5</f>
        <v>160.5</v>
      </c>
    </row>
    <row r="307" spans="49:52" ht="12.75">
      <c r="AW307" s="7">
        <f t="shared" si="126"/>
        <v>11.250434027777777</v>
      </c>
      <c r="AX307" s="7">
        <f t="shared" si="124"/>
        <v>126.57226581338008</v>
      </c>
      <c r="AY307" s="7">
        <f t="shared" si="125"/>
        <v>-0.4359108080152345</v>
      </c>
      <c r="AZ307" s="7">
        <v>161</v>
      </c>
    </row>
    <row r="308" spans="49:52" ht="12.75">
      <c r="AW308" s="7">
        <f t="shared" si="126"/>
        <v>11.320421006944445</v>
      </c>
      <c r="AX308" s="7">
        <f t="shared" si="124"/>
        <v>128.15193177446906</v>
      </c>
      <c r="AY308" s="7">
        <f t="shared" si="125"/>
        <v>-0.4337819014222196</v>
      </c>
      <c r="AZ308" s="11">
        <f>AZ307+0.5</f>
        <v>161.5</v>
      </c>
    </row>
    <row r="309" spans="49:52" ht="12.75">
      <c r="AW309" s="7">
        <f t="shared" si="126"/>
        <v>11.390625</v>
      </c>
      <c r="AX309" s="7">
        <f t="shared" si="124"/>
        <v>129.746337890625</v>
      </c>
      <c r="AY309" s="7">
        <f t="shared" si="125"/>
        <v>-0.4316668297866458</v>
      </c>
      <c r="AZ309" s="7">
        <v>162</v>
      </c>
    </row>
    <row r="310" spans="49:52" ht="12.75">
      <c r="AW310" s="7">
        <f t="shared" si="126"/>
        <v>11.461046006944443</v>
      </c>
      <c r="AX310" s="7">
        <f aca="true" t="shared" si="127" ref="AX310:AX325">_Fn2cc^2</f>
        <v>131.35557557329716</v>
      </c>
      <c r="AY310" s="7">
        <f aca="true" t="shared" si="128" ref="AY310:AY325">10*LOG(_Fn4cc^2/((_Fn4cc-_Cm*_Fn2cc+_Am)^2+_Fn2cc*(_Dm*_Fn2cc-_Bm)^2))</f>
        <v>-0.4295654944411282</v>
      </c>
      <c r="AZ310" s="11">
        <f>AZ309+0.5</f>
        <v>162.5</v>
      </c>
    </row>
    <row r="311" spans="49:52" ht="12.75">
      <c r="AW311" s="7">
        <f aca="true" t="shared" si="129" ref="AW311:AW326">(Fcc/Fs)^2</f>
        <v>11.531684027777779</v>
      </c>
      <c r="AX311" s="7">
        <f t="shared" si="127"/>
        <v>132.97973651650514</v>
      </c>
      <c r="AY311" s="7">
        <f t="shared" si="128"/>
        <v>-0.42747779726803936</v>
      </c>
      <c r="AZ311" s="7">
        <v>163</v>
      </c>
    </row>
    <row r="312" spans="49:52" ht="12.75">
      <c r="AW312" s="7">
        <f t="shared" si="129"/>
        <v>11.6025390625</v>
      </c>
      <c r="AX312" s="7">
        <f t="shared" si="127"/>
        <v>134.61891269683838</v>
      </c>
      <c r="AY312" s="7">
        <f t="shared" si="128"/>
        <v>-0.42540364070240483</v>
      </c>
      <c r="AZ312" s="11">
        <f>AZ311+0.5</f>
        <v>163.5</v>
      </c>
    </row>
    <row r="313" spans="49:52" ht="12.75">
      <c r="AW313" s="7">
        <f t="shared" si="129"/>
        <v>11.67361111111111</v>
      </c>
      <c r="AX313" s="7">
        <f t="shared" si="127"/>
        <v>136.27319637345678</v>
      </c>
      <c r="AY313" s="7">
        <f t="shared" si="128"/>
        <v>-0.42334292773461785</v>
      </c>
      <c r="AZ313" s="7">
        <v>164</v>
      </c>
    </row>
    <row r="314" spans="49:52" ht="12.75">
      <c r="AW314" s="7">
        <f t="shared" si="129"/>
        <v>11.744900173611112</v>
      </c>
      <c r="AX314" s="7">
        <f t="shared" si="127"/>
        <v>137.94268008809033</v>
      </c>
      <c r="AY314" s="7">
        <f t="shared" si="128"/>
        <v>-0.4212955619129475</v>
      </c>
      <c r="AZ314" s="11">
        <f>AZ313+0.5</f>
        <v>164.5</v>
      </c>
    </row>
    <row r="315" spans="49:52" ht="12.75">
      <c r="AW315" s="7">
        <f t="shared" si="129"/>
        <v>11.81640625</v>
      </c>
      <c r="AX315" s="7">
        <f t="shared" si="127"/>
        <v>139.62745666503906</v>
      </c>
      <c r="AY315" s="7">
        <f t="shared" si="128"/>
        <v>-0.41926144734587</v>
      </c>
      <c r="AZ315" s="7">
        <v>165</v>
      </c>
    </row>
    <row r="316" spans="49:52" ht="12.75">
      <c r="AW316" s="7">
        <f t="shared" si="129"/>
        <v>11.888129340277777</v>
      </c>
      <c r="AX316" s="7">
        <f t="shared" si="127"/>
        <v>141.32761921117333</v>
      </c>
      <c r="AY316" s="7">
        <f t="shared" si="128"/>
        <v>-0.41724048870422575</v>
      </c>
      <c r="AZ316" s="11">
        <f>AZ315+0.5</f>
        <v>165.5</v>
      </c>
    </row>
    <row r="317" spans="49:52" ht="12.75">
      <c r="AW317" s="7">
        <f t="shared" si="129"/>
        <v>11.960069444444445</v>
      </c>
      <c r="AX317" s="7">
        <f t="shared" si="127"/>
        <v>143.04326111593366</v>
      </c>
      <c r="AY317" s="7">
        <f t="shared" si="128"/>
        <v>-0.41523259122317385</v>
      </c>
      <c r="AZ317" s="7">
        <v>166</v>
      </c>
    </row>
    <row r="318" spans="49:52" ht="12.75">
      <c r="AW318" s="7">
        <f t="shared" si="129"/>
        <v>12.0322265625</v>
      </c>
      <c r="AX318" s="7">
        <f t="shared" si="127"/>
        <v>144.77447605133057</v>
      </c>
      <c r="AY318" s="7">
        <f t="shared" si="128"/>
        <v>-0.4132376607040048</v>
      </c>
      <c r="AZ318" s="11">
        <f>AZ317+0.5</f>
        <v>166.5</v>
      </c>
    </row>
    <row r="319" spans="49:52" ht="12.75">
      <c r="AW319" s="7">
        <f t="shared" si="129"/>
        <v>12.104600694444443</v>
      </c>
      <c r="AX319" s="7">
        <f t="shared" si="127"/>
        <v>146.5213579719449</v>
      </c>
      <c r="AY319" s="7">
        <f t="shared" si="128"/>
        <v>-0.4112556035157423</v>
      </c>
      <c r="AZ319" s="7">
        <v>167</v>
      </c>
    </row>
    <row r="320" spans="49:52" ht="12.75">
      <c r="AW320" s="7">
        <f t="shared" si="129"/>
        <v>12.177191840277779</v>
      </c>
      <c r="AX320" s="7">
        <f t="shared" si="127"/>
        <v>148.28400111492772</v>
      </c>
      <c r="AY320" s="7">
        <f t="shared" si="128"/>
        <v>-0.4092863265966179</v>
      </c>
      <c r="AZ320" s="11">
        <f>AZ319+0.5</f>
        <v>167.5</v>
      </c>
    </row>
    <row r="321" spans="49:52" ht="12.75">
      <c r="AW321" s="7">
        <f t="shared" si="129"/>
        <v>12.25</v>
      </c>
      <c r="AX321" s="7">
        <f t="shared" si="127"/>
        <v>150.0625</v>
      </c>
      <c r="AY321" s="7">
        <f t="shared" si="128"/>
        <v>-0.40732973745534384</v>
      </c>
      <c r="AZ321" s="7">
        <v>168</v>
      </c>
    </row>
    <row r="322" spans="49:52" ht="12.75">
      <c r="AW322" s="7">
        <f t="shared" si="129"/>
        <v>12.32302517361111</v>
      </c>
      <c r="AX322" s="7">
        <f t="shared" si="127"/>
        <v>151.85694942945315</v>
      </c>
      <c r="AY322" s="7">
        <f t="shared" si="128"/>
        <v>-0.405385744172252</v>
      </c>
      <c r="AZ322" s="11">
        <f>AZ321+0.5</f>
        <v>168.5</v>
      </c>
    </row>
    <row r="323" spans="49:52" ht="12.75">
      <c r="AW323" s="7">
        <f t="shared" si="129"/>
        <v>12.396267361111112</v>
      </c>
      <c r="AX323" s="7">
        <f t="shared" si="127"/>
        <v>153.66744448814867</v>
      </c>
      <c r="AY323" s="7">
        <f t="shared" si="128"/>
        <v>-0.40345425540026225</v>
      </c>
      <c r="AZ323" s="7">
        <v>169</v>
      </c>
    </row>
    <row r="324" spans="49:52" ht="12.75">
      <c r="AW324" s="7">
        <f t="shared" si="129"/>
        <v>12.4697265625</v>
      </c>
      <c r="AX324" s="7">
        <f t="shared" si="127"/>
        <v>155.49408054351807</v>
      </c>
      <c r="AY324" s="7">
        <f t="shared" si="128"/>
        <v>-0.40153518036570185</v>
      </c>
      <c r="AZ324" s="11">
        <f>AZ323+0.5</f>
        <v>169.5</v>
      </c>
    </row>
    <row r="325" spans="49:52" ht="12.75">
      <c r="AW325" s="7">
        <f t="shared" si="129"/>
        <v>12.543402777777777</v>
      </c>
      <c r="AX325" s="7">
        <f t="shared" si="127"/>
        <v>157.33695324556325</v>
      </c>
      <c r="AY325" s="7">
        <f t="shared" si="128"/>
        <v>-0.399628428868966</v>
      </c>
      <c r="AZ325" s="7">
        <v>170</v>
      </c>
    </row>
    <row r="326" spans="49:52" ht="12.75">
      <c r="AW326" s="7">
        <f t="shared" si="129"/>
        <v>12.617296006944445</v>
      </c>
      <c r="AX326" s="7">
        <f aca="true" t="shared" si="130" ref="AX326:AX341">_Fn2cc^2</f>
        <v>159.19615852685624</v>
      </c>
      <c r="AY326" s="7">
        <f aca="true" t="shared" si="131" ref="AY326:AY341">10*LOG(_Fn4cc^2/((_Fn4cc-_Cm*_Fn2cc+_Am)^2+_Fn2cc*(_Dm*_Fn2cc-_Bm)^2))</f>
        <v>-0.3977339112850565</v>
      </c>
      <c r="AZ326" s="11">
        <f>AZ325+0.5</f>
        <v>170.5</v>
      </c>
    </row>
    <row r="327" spans="49:52" ht="12.75">
      <c r="AW327" s="7">
        <f aca="true" t="shared" si="132" ref="AW327:AW342">(Fcc/Fs)^2</f>
        <v>12.69140625</v>
      </c>
      <c r="AX327" s="7">
        <f t="shared" si="130"/>
        <v>161.07179260253906</v>
      </c>
      <c r="AY327" s="7">
        <f t="shared" si="131"/>
        <v>-0.3958515385639465</v>
      </c>
      <c r="AZ327" s="7">
        <v>171</v>
      </c>
    </row>
    <row r="328" spans="49:52" ht="12.75">
      <c r="AW328" s="7">
        <f t="shared" si="132"/>
        <v>12.765733506944443</v>
      </c>
      <c r="AX328" s="7">
        <f t="shared" si="130"/>
        <v>162.96395197032408</v>
      </c>
      <c r="AY328" s="7">
        <f t="shared" si="131"/>
        <v>-0.39398122223082593</v>
      </c>
      <c r="AZ328" s="11">
        <f>AZ327+0.5</f>
        <v>171.5</v>
      </c>
    </row>
    <row r="329" spans="49:52" ht="12.75">
      <c r="AW329" s="7">
        <f t="shared" si="132"/>
        <v>12.840277777777779</v>
      </c>
      <c r="AX329" s="7">
        <f t="shared" si="130"/>
        <v>164.87273341049385</v>
      </c>
      <c r="AY329" s="7">
        <f t="shared" si="131"/>
        <v>-0.39212287438621507</v>
      </c>
      <c r="AZ329" s="7">
        <v>172</v>
      </c>
    </row>
    <row r="330" spans="49:52" ht="12.75">
      <c r="AW330" s="7">
        <f t="shared" si="132"/>
        <v>12.9150390625</v>
      </c>
      <c r="AX330" s="7">
        <f t="shared" si="130"/>
        <v>166.79823398590088</v>
      </c>
      <c r="AY330" s="7">
        <f t="shared" si="131"/>
        <v>-0.3902764077059257</v>
      </c>
      <c r="AZ330" s="11">
        <f>AZ329+0.5</f>
        <v>172.5</v>
      </c>
    </row>
    <row r="331" spans="49:52" ht="12.75">
      <c r="AW331" s="7">
        <f t="shared" si="132"/>
        <v>12.99001736111111</v>
      </c>
      <c r="AX331" s="7">
        <f t="shared" si="130"/>
        <v>168.74055104196808</v>
      </c>
      <c r="AY331" s="7">
        <f t="shared" si="131"/>
        <v>-0.3884417354409272</v>
      </c>
      <c r="AZ331" s="7">
        <v>173</v>
      </c>
    </row>
    <row r="332" spans="49:52" ht="12.75">
      <c r="AW332" s="7">
        <f t="shared" si="132"/>
        <v>13.065212673611112</v>
      </c>
      <c r="AX332" s="7">
        <f t="shared" si="130"/>
        <v>170.69978220668844</v>
      </c>
      <c r="AY332" s="7">
        <f t="shared" si="131"/>
        <v>-0.38661877141705353</v>
      </c>
      <c r="AZ332" s="11">
        <f>AZ331+0.5</f>
        <v>173.5</v>
      </c>
    </row>
    <row r="333" spans="49:52" ht="12.75">
      <c r="AW333" s="7">
        <f t="shared" si="132"/>
        <v>13.140625</v>
      </c>
      <c r="AX333" s="7">
        <f t="shared" si="130"/>
        <v>172.676025390625</v>
      </c>
      <c r="AY333" s="7">
        <f t="shared" si="131"/>
        <v>-0.3848074300346154</v>
      </c>
      <c r="AZ333" s="7">
        <v>174</v>
      </c>
    </row>
    <row r="334" spans="49:52" ht="12.75">
      <c r="AW334" s="7">
        <f t="shared" si="132"/>
        <v>13.216254340277777</v>
      </c>
      <c r="AX334" s="7">
        <f t="shared" si="130"/>
        <v>174.66937878691118</v>
      </c>
      <c r="AY334" s="7">
        <f t="shared" si="131"/>
        <v>-0.38300762626788476</v>
      </c>
      <c r="AZ334" s="11">
        <f>AZ333+0.5</f>
        <v>174.5</v>
      </c>
    </row>
    <row r="335" spans="49:52" ht="12.75">
      <c r="AW335" s="7">
        <f t="shared" si="132"/>
        <v>13.292100694444445</v>
      </c>
      <c r="AX335" s="7">
        <f t="shared" si="130"/>
        <v>176.6799408712505</v>
      </c>
      <c r="AY335" s="7">
        <f t="shared" si="131"/>
        <v>-0.38121927566446656</v>
      </c>
      <c r="AZ335" s="7">
        <v>175</v>
      </c>
    </row>
    <row r="336" spans="49:52" ht="12.75">
      <c r="AW336" s="7">
        <f t="shared" si="132"/>
        <v>13.3681640625</v>
      </c>
      <c r="AX336" s="7">
        <f t="shared" si="130"/>
        <v>178.7078104019165</v>
      </c>
      <c r="AY336" s="7">
        <f t="shared" si="131"/>
        <v>-0.3794422943445629</v>
      </c>
      <c r="AZ336" s="11">
        <f>AZ335+0.5</f>
        <v>175.5</v>
      </c>
    </row>
    <row r="337" spans="49:52" ht="12.75">
      <c r="AW337" s="7">
        <f t="shared" si="132"/>
        <v>13.444444444444443</v>
      </c>
      <c r="AX337" s="7">
        <f t="shared" si="130"/>
        <v>180.75308641975303</v>
      </c>
      <c r="AY337" s="7">
        <f t="shared" si="131"/>
        <v>-0.37767659900012984</v>
      </c>
      <c r="AZ337" s="7">
        <v>176</v>
      </c>
    </row>
    <row r="338" spans="49:52" ht="12.75">
      <c r="AW338" s="7">
        <f t="shared" si="132"/>
        <v>13.520941840277779</v>
      </c>
      <c r="AX338" s="7">
        <f t="shared" si="130"/>
        <v>182.81586824817424</v>
      </c>
      <c r="AY338" s="7">
        <f t="shared" si="131"/>
        <v>-0.3759221068939277</v>
      </c>
      <c r="AZ338" s="11">
        <f>AZ337+0.5</f>
        <v>176.5</v>
      </c>
    </row>
    <row r="339" spans="49:52" ht="12.75">
      <c r="AW339" s="7">
        <f t="shared" si="132"/>
        <v>13.59765625</v>
      </c>
      <c r="AX339" s="7">
        <f t="shared" si="130"/>
        <v>184.89625549316406</v>
      </c>
      <c r="AY339" s="7">
        <f t="shared" si="131"/>
        <v>-0.37417873585847405</v>
      </c>
      <c r="AZ339" s="7">
        <v>177</v>
      </c>
    </row>
    <row r="340" spans="49:52" ht="12.75">
      <c r="AW340" s="7">
        <f t="shared" si="132"/>
        <v>13.67458767361111</v>
      </c>
      <c r="AX340" s="7">
        <f t="shared" si="130"/>
        <v>186.99434804327691</v>
      </c>
      <c r="AY340" s="7">
        <f t="shared" si="131"/>
        <v>-0.3724464042949091</v>
      </c>
      <c r="AZ340" s="11">
        <f>AZ339+0.5</f>
        <v>177.5</v>
      </c>
    </row>
    <row r="341" spans="49:52" ht="12.75">
      <c r="AW341" s="7">
        <f t="shared" si="132"/>
        <v>13.751736111111112</v>
      </c>
      <c r="AX341" s="7">
        <f t="shared" si="130"/>
        <v>189.11024606963738</v>
      </c>
      <c r="AY341" s="7">
        <f t="shared" si="131"/>
        <v>-0.37072503117174527</v>
      </c>
      <c r="AZ341" s="7">
        <v>178</v>
      </c>
    </row>
    <row r="342" spans="49:52" ht="12.75">
      <c r="AW342" s="7">
        <f t="shared" si="132"/>
        <v>13.8291015625</v>
      </c>
      <c r="AX342" s="7">
        <f aca="true" t="shared" si="133" ref="AX342:AX357">_Fn2cc^2</f>
        <v>191.24405002593994</v>
      </c>
      <c r="AY342" s="7">
        <f aca="true" t="shared" si="134" ref="AY342:AY357">10*LOG(_Fn4cc^2/((_Fn4cc-_Cm*_Fn2cc+_Am)^2+_Fn2cc*(_Dm*_Fn2cc-_Bm)^2))</f>
        <v>-0.3690145360235497</v>
      </c>
      <c r="AZ342" s="11">
        <f>AZ341+0.5</f>
        <v>178.5</v>
      </c>
    </row>
    <row r="343" spans="49:52" ht="12.75">
      <c r="AW343" s="7">
        <f aca="true" t="shared" si="135" ref="AW343:AW358">(Fcc/Fs)^2</f>
        <v>13.906684027777777</v>
      </c>
      <c r="AX343" s="7">
        <f t="shared" si="133"/>
        <v>193.39586064844954</v>
      </c>
      <c r="AY343" s="7">
        <f t="shared" si="134"/>
        <v>-0.3673148389495228</v>
      </c>
      <c r="AZ343" s="7">
        <v>179</v>
      </c>
    </row>
    <row r="344" spans="49:52" ht="12.75">
      <c r="AW344" s="7">
        <f t="shared" si="135"/>
        <v>13.984483506944446</v>
      </c>
      <c r="AX344" s="7">
        <f t="shared" si="133"/>
        <v>195.56577895600125</v>
      </c>
      <c r="AY344" s="7">
        <f t="shared" si="134"/>
        <v>-0.3656258606120071</v>
      </c>
      <c r="AZ344" s="11">
        <f>AZ343+0.5</f>
        <v>179.5</v>
      </c>
    </row>
    <row r="345" spans="49:52" ht="12.75">
      <c r="AW345" s="7">
        <f t="shared" si="135"/>
        <v>14.0625</v>
      </c>
      <c r="AX345" s="7">
        <f t="shared" si="133"/>
        <v>197.75390625</v>
      </c>
      <c r="AY345" s="7">
        <f t="shared" si="134"/>
        <v>-0.3639475222349003</v>
      </c>
      <c r="AZ345" s="7">
        <v>180</v>
      </c>
    </row>
    <row r="346" spans="49:52" ht="12.75">
      <c r="AW346" s="7">
        <f t="shared" si="135"/>
        <v>14.140733506944443</v>
      </c>
      <c r="AX346" s="7">
        <f t="shared" si="133"/>
        <v>199.96034411442128</v>
      </c>
      <c r="AY346" s="7">
        <f t="shared" si="134"/>
        <v>-0.3622797456020005</v>
      </c>
      <c r="AZ346" s="11">
        <f>AZ345+0.5</f>
        <v>180.5</v>
      </c>
    </row>
    <row r="347" spans="49:52" ht="12.75">
      <c r="AW347" s="7">
        <f t="shared" si="135"/>
        <v>14.219184027777779</v>
      </c>
      <c r="AX347" s="7">
        <f t="shared" si="133"/>
        <v>202.18519441581068</v>
      </c>
      <c r="AY347" s="7">
        <f t="shared" si="134"/>
        <v>-0.3606224530552684</v>
      </c>
      <c r="AZ347" s="7">
        <v>181</v>
      </c>
    </row>
    <row r="348" spans="49:52" ht="12.75">
      <c r="AW348" s="7">
        <f t="shared" si="135"/>
        <v>14.2978515625</v>
      </c>
      <c r="AX348" s="7">
        <f t="shared" si="133"/>
        <v>204.4285593032837</v>
      </c>
      <c r="AY348" s="7">
        <f t="shared" si="134"/>
        <v>-0.3589755674930263</v>
      </c>
      <c r="AZ348" s="11">
        <f>AZ347+0.5</f>
        <v>181.5</v>
      </c>
    </row>
    <row r="349" spans="49:52" ht="12.75">
      <c r="AW349" s="7">
        <f t="shared" si="135"/>
        <v>14.37673611111111</v>
      </c>
      <c r="AX349" s="7">
        <f t="shared" si="133"/>
        <v>206.6905412085262</v>
      </c>
      <c r="AY349" s="7">
        <f t="shared" si="134"/>
        <v>-0.3573390123680764</v>
      </c>
      <c r="AZ349" s="7">
        <v>182</v>
      </c>
    </row>
    <row r="350" spans="49:52" ht="12.75">
      <c r="AW350" s="7">
        <f t="shared" si="135"/>
        <v>14.455837673611112</v>
      </c>
      <c r="AX350" s="7">
        <f t="shared" si="133"/>
        <v>208.97124284579434</v>
      </c>
      <c r="AY350" s="7">
        <f t="shared" si="134"/>
        <v>-0.35571271168576013</v>
      </c>
      <c r="AZ350" s="11">
        <f>AZ349+0.5</f>
        <v>182.5</v>
      </c>
    </row>
    <row r="351" spans="49:52" ht="12.75">
      <c r="AW351" s="7">
        <f t="shared" si="135"/>
        <v>14.53515625</v>
      </c>
      <c r="AX351" s="7">
        <f t="shared" si="133"/>
        <v>211.27076721191406</v>
      </c>
      <c r="AY351" s="7">
        <f t="shared" si="134"/>
        <v>-0.35409659000194693</v>
      </c>
      <c r="AZ351" s="7">
        <v>183</v>
      </c>
    </row>
    <row r="352" spans="49:52" ht="12.75">
      <c r="AW352" s="7">
        <f t="shared" si="135"/>
        <v>14.614691840277777</v>
      </c>
      <c r="AX352" s="7">
        <f t="shared" si="133"/>
        <v>213.58921758628182</v>
      </c>
      <c r="AY352" s="7">
        <f t="shared" si="134"/>
        <v>-0.3524905724209651</v>
      </c>
      <c r="AZ352" s="11">
        <f>AZ351+0.5</f>
        <v>183.5</v>
      </c>
    </row>
    <row r="353" spans="49:52" ht="12.75">
      <c r="AW353" s="7">
        <f t="shared" si="135"/>
        <v>14.694444444444446</v>
      </c>
      <c r="AX353" s="7">
        <f t="shared" si="133"/>
        <v>215.92669753086426</v>
      </c>
      <c r="AY353" s="7">
        <f t="shared" si="134"/>
        <v>-0.3508945845934698</v>
      </c>
      <c r="AZ353" s="7">
        <v>184</v>
      </c>
    </row>
    <row r="354" spans="49:52" ht="12.75">
      <c r="AW354" s="7">
        <f t="shared" si="135"/>
        <v>14.7744140625</v>
      </c>
      <c r="AX354" s="7">
        <f t="shared" si="133"/>
        <v>218.28331089019775</v>
      </c>
      <c r="AY354" s="7">
        <f t="shared" si="134"/>
        <v>-0.3493085527142612</v>
      </c>
      <c r="AZ354" s="11">
        <f>AZ353+0.5</f>
        <v>184.5</v>
      </c>
    </row>
    <row r="355" spans="49:52" ht="12.75">
      <c r="AW355" s="7">
        <f t="shared" si="135"/>
        <v>14.854600694444443</v>
      </c>
      <c r="AX355" s="7">
        <f t="shared" si="133"/>
        <v>220.65916179138932</v>
      </c>
      <c r="AY355" s="7">
        <f t="shared" si="134"/>
        <v>-0.3477324035200341</v>
      </c>
      <c r="AZ355" s="7">
        <v>185</v>
      </c>
    </row>
    <row r="356" spans="49:52" ht="12.75">
      <c r="AW356" s="7">
        <f t="shared" si="135"/>
        <v>14.935004340277779</v>
      </c>
      <c r="AX356" s="7">
        <f t="shared" si="133"/>
        <v>223.05435464411607</v>
      </c>
      <c r="AY356" s="7">
        <f t="shared" si="134"/>
        <v>-0.34616606428708924</v>
      </c>
      <c r="AZ356" s="11">
        <f>AZ355+0.5</f>
        <v>185.5</v>
      </c>
    </row>
    <row r="357" spans="49:52" ht="12.75">
      <c r="AW357" s="7">
        <f t="shared" si="135"/>
        <v>15.015625</v>
      </c>
      <c r="AX357" s="7">
        <f t="shared" si="133"/>
        <v>225.468994140625</v>
      </c>
      <c r="AY357" s="7">
        <f t="shared" si="134"/>
        <v>-0.34460946282898497</v>
      </c>
      <c r="AZ357" s="7">
        <v>186</v>
      </c>
    </row>
    <row r="358" spans="49:52" ht="12.75">
      <c r="AW358" s="7">
        <f t="shared" si="135"/>
        <v>15.09646267361111</v>
      </c>
      <c r="AX358" s="7">
        <f aca="true" t="shared" si="136" ref="AX358:AX373">_Fn2cc^2</f>
        <v>227.90318525573352</v>
      </c>
      <c r="AY358" s="7">
        <f aca="true" t="shared" si="137" ref="AY358:AY373">10*LOG(_Fn4cc^2/((_Fn4cc-_Cm*_Fn2cc+_Am)^2+_Fn2cc*(_Dm*_Fn2cc-_Bm)^2))</f>
        <v>-0.3430625274941491</v>
      </c>
      <c r="AZ358" s="11">
        <f>AZ357+0.5</f>
        <v>186.5</v>
      </c>
    </row>
    <row r="359" spans="49:52" ht="12.75">
      <c r="AW359" s="7">
        <f aca="true" t="shared" si="138" ref="AW359:AW374">(Fcc/Fs)^2</f>
        <v>15.177517361111112</v>
      </c>
      <c r="AX359" s="7">
        <f t="shared" si="136"/>
        <v>230.35703324682922</v>
      </c>
      <c r="AY359" s="7">
        <f t="shared" si="137"/>
        <v>-0.34152518716343383</v>
      </c>
      <c r="AZ359" s="7">
        <v>187</v>
      </c>
    </row>
    <row r="360" spans="49:52" ht="12.75">
      <c r="AW360" s="7">
        <f t="shared" si="138"/>
        <v>15.2587890625</v>
      </c>
      <c r="AX360" s="7">
        <f t="shared" si="136"/>
        <v>232.83064365386963</v>
      </c>
      <c r="AY360" s="7">
        <f t="shared" si="137"/>
        <v>-0.33999737124764234</v>
      </c>
      <c r="AZ360" s="11">
        <f>AZ359+0.5</f>
        <v>187.5</v>
      </c>
    </row>
    <row r="361" spans="49:52" ht="12.75">
      <c r="AW361" s="7">
        <f t="shared" si="138"/>
        <v>15.340277777777777</v>
      </c>
      <c r="AX361" s="7">
        <f t="shared" si="136"/>
        <v>235.32412229938268</v>
      </c>
      <c r="AY361" s="7">
        <f t="shared" si="137"/>
        <v>-0.3384790096849981</v>
      </c>
      <c r="AZ361" s="7">
        <v>188</v>
      </c>
    </row>
    <row r="362" spans="49:52" ht="12.75">
      <c r="AW362" s="7">
        <f t="shared" si="138"/>
        <v>15.421983506944446</v>
      </c>
      <c r="AX362" s="7">
        <f t="shared" si="136"/>
        <v>237.83757528846652</v>
      </c>
      <c r="AY362" s="7">
        <f t="shared" si="137"/>
        <v>-0.33697003293858496</v>
      </c>
      <c r="AZ362" s="11">
        <f>AZ361+0.5</f>
        <v>188.5</v>
      </c>
    </row>
    <row r="363" spans="49:52" ht="12.75">
      <c r="AW363" s="7">
        <f t="shared" si="138"/>
        <v>15.50390625</v>
      </c>
      <c r="AX363" s="7">
        <f t="shared" si="136"/>
        <v>240.37110900878906</v>
      </c>
      <c r="AY363" s="7">
        <f t="shared" si="137"/>
        <v>-0.3354703719937434</v>
      </c>
      <c r="AZ363" s="7">
        <v>189</v>
      </c>
    </row>
    <row r="364" spans="49:52" ht="12.75">
      <c r="AW364" s="7">
        <f t="shared" si="138"/>
        <v>15.586046006944443</v>
      </c>
      <c r="AX364" s="7">
        <f t="shared" si="136"/>
        <v>242.92483013058882</v>
      </c>
      <c r="AY364" s="7">
        <f t="shared" si="137"/>
        <v>-0.33397995835544114</v>
      </c>
      <c r="AZ364" s="11">
        <f>AZ363+0.5</f>
        <v>189.5</v>
      </c>
    </row>
    <row r="365" spans="49:52" ht="12.75">
      <c r="AW365" s="7">
        <f t="shared" si="138"/>
        <v>15.668402777777779</v>
      </c>
      <c r="AX365" s="7">
        <f t="shared" si="136"/>
        <v>245.4988456066744</v>
      </c>
      <c r="AY365" s="7">
        <f t="shared" si="137"/>
        <v>-0.3324987240455962</v>
      </c>
      <c r="AZ365" s="7">
        <v>190</v>
      </c>
    </row>
    <row r="366" spans="49:52" ht="12.75">
      <c r="AW366" s="7">
        <f t="shared" si="138"/>
        <v>15.7509765625</v>
      </c>
      <c r="AX366" s="7">
        <f t="shared" si="136"/>
        <v>248.09326267242432</v>
      </c>
      <c r="AY366" s="7">
        <f t="shared" si="137"/>
        <v>-0.33102660160037534</v>
      </c>
      <c r="AZ366" s="11">
        <f>AZ365+0.5</f>
        <v>190.5</v>
      </c>
    </row>
    <row r="367" spans="49:52" ht="12.75">
      <c r="AW367" s="7">
        <f t="shared" si="138"/>
        <v>15.83376736111111</v>
      </c>
      <c r="AX367" s="7">
        <f t="shared" si="136"/>
        <v>250.7081888457875</v>
      </c>
      <c r="AY367" s="7">
        <f t="shared" si="137"/>
        <v>-0.3295635240674663</v>
      </c>
      <c r="AZ367" s="7">
        <v>191</v>
      </c>
    </row>
    <row r="368" spans="49:52" ht="12.75">
      <c r="AW368" s="7">
        <f t="shared" si="138"/>
        <v>15.916775173611112</v>
      </c>
      <c r="AX368" s="7">
        <f t="shared" si="136"/>
        <v>253.34373192728307</v>
      </c>
      <c r="AY368" s="7">
        <f t="shared" si="137"/>
        <v>-0.3281094250033134</v>
      </c>
      <c r="AZ368" s="11">
        <f>AZ367+0.5</f>
        <v>191.5</v>
      </c>
    </row>
    <row r="369" spans="49:52" ht="12.75">
      <c r="AW369" s="7">
        <f t="shared" si="138"/>
        <v>16</v>
      </c>
      <c r="AX369" s="7">
        <f t="shared" si="136"/>
        <v>256</v>
      </c>
      <c r="AY369" s="7">
        <f t="shared" si="137"/>
        <v>-0.3266642384703262</v>
      </c>
      <c r="AZ369" s="7">
        <v>192</v>
      </c>
    </row>
    <row r="370" spans="49:52" ht="12.75">
      <c r="AW370" s="7">
        <f t="shared" si="138"/>
        <v>16.08344184027778</v>
      </c>
      <c r="AX370" s="7">
        <f t="shared" si="136"/>
        <v>258.6771014295979</v>
      </c>
      <c r="AY370" s="7">
        <f t="shared" si="137"/>
        <v>-0.32522789903407456</v>
      </c>
      <c r="AZ370" s="11">
        <f>AZ369+0.5</f>
        <v>192.5</v>
      </c>
    </row>
    <row r="371" spans="49:52" ht="12.75">
      <c r="AW371" s="7">
        <f t="shared" si="138"/>
        <v>16.167100694444443</v>
      </c>
      <c r="AX371" s="7">
        <f t="shared" si="136"/>
        <v>261.375144864306</v>
      </c>
      <c r="AY371" s="7">
        <f t="shared" si="137"/>
        <v>-0.3238003417604443</v>
      </c>
      <c r="AZ371" s="7">
        <v>193</v>
      </c>
    </row>
    <row r="372" spans="49:52" ht="12.75">
      <c r="AW372" s="7">
        <f t="shared" si="138"/>
        <v>16.2509765625</v>
      </c>
      <c r="AX372" s="7">
        <f t="shared" si="136"/>
        <v>264.0942392349243</v>
      </c>
      <c r="AY372" s="7">
        <f t="shared" si="137"/>
        <v>-0.3223815022127827</v>
      </c>
      <c r="AZ372" s="11">
        <f>AZ371+0.5</f>
        <v>193.5</v>
      </c>
    </row>
    <row r="373" spans="49:52" ht="12.75">
      <c r="AW373" s="7">
        <f t="shared" si="138"/>
        <v>16.335069444444446</v>
      </c>
      <c r="AX373" s="7">
        <f t="shared" si="136"/>
        <v>266.8344937548226</v>
      </c>
      <c r="AY373" s="7">
        <f t="shared" si="137"/>
        <v>-0.32097131644901605</v>
      </c>
      <c r="AZ373" s="7">
        <v>194</v>
      </c>
    </row>
    <row r="374" spans="49:52" ht="12.75">
      <c r="AW374" s="7">
        <f t="shared" si="138"/>
        <v>16.419379340277775</v>
      </c>
      <c r="AX374" s="7">
        <f aca="true" t="shared" si="139" ref="AX374:AX389">_Fn2cc^2</f>
        <v>269.5960179199406</v>
      </c>
      <c r="AY374" s="7">
        <f aca="true" t="shared" si="140" ref="AY374:AY389">10*LOG(_Fn4cc^2/((_Fn4cc-_Cm*_Fn2cc+_Am)^2+_Fn2cc*(_Dm*_Fn2cc-_Bm)^2))</f>
        <v>-0.3195697210187492</v>
      </c>
      <c r="AZ374" s="11">
        <f>AZ373+0.5</f>
        <v>194.5</v>
      </c>
    </row>
    <row r="375" spans="49:52" ht="12.75">
      <c r="AW375" s="7">
        <f aca="true" t="shared" si="141" ref="AW375:AW390">(Fcc/Fs)^2</f>
        <v>16.50390625</v>
      </c>
      <c r="AX375" s="7">
        <f t="shared" si="139"/>
        <v>272.37892150878906</v>
      </c>
      <c r="AY375" s="7">
        <f t="shared" si="140"/>
        <v>-0.3181766529603542</v>
      </c>
      <c r="AZ375" s="7">
        <v>195</v>
      </c>
    </row>
    <row r="376" spans="49:52" ht="12.75">
      <c r="AW376" s="7">
        <f t="shared" si="141"/>
        <v>16.588650173611114</v>
      </c>
      <c r="AX376" s="7">
        <f t="shared" si="139"/>
        <v>275.1833145824481</v>
      </c>
      <c r="AY376" s="7">
        <f t="shared" si="140"/>
        <v>-0.31679204979803177</v>
      </c>
      <c r="AZ376" s="11">
        <f>AZ375+0.5</f>
        <v>195.5</v>
      </c>
    </row>
    <row r="377" spans="49:52" ht="12.75">
      <c r="AW377" s="7">
        <f t="shared" si="141"/>
        <v>16.673611111111107</v>
      </c>
      <c r="AX377" s="7">
        <f t="shared" si="139"/>
        <v>278.0093074845678</v>
      </c>
      <c r="AY377" s="7">
        <f t="shared" si="140"/>
        <v>-0.31541584953886437</v>
      </c>
      <c r="AZ377" s="7">
        <v>196</v>
      </c>
    </row>
    <row r="378" spans="49:52" ht="12.75">
      <c r="AW378" s="7">
        <f t="shared" si="141"/>
        <v>16.7587890625</v>
      </c>
      <c r="AX378" s="7">
        <f t="shared" si="139"/>
        <v>280.85701084136963</v>
      </c>
      <c r="AY378" s="7">
        <f t="shared" si="140"/>
        <v>-0.31404799066985317</v>
      </c>
      <c r="AZ378" s="11">
        <f>AZ377+0.5</f>
        <v>196.5</v>
      </c>
    </row>
    <row r="379" spans="49:52" ht="12.75">
      <c r="AW379" s="7">
        <f t="shared" si="141"/>
        <v>16.84418402777778</v>
      </c>
      <c r="AX379" s="7">
        <f t="shared" si="139"/>
        <v>283.726535561644</v>
      </c>
      <c r="AY379" s="7">
        <f t="shared" si="140"/>
        <v>-0.31268841215494225</v>
      </c>
      <c r="AZ379" s="7">
        <v>197</v>
      </c>
    </row>
    <row r="380" spans="49:52" ht="12.75">
      <c r="AW380" s="7">
        <f t="shared" si="141"/>
        <v>16.929796006944443</v>
      </c>
      <c r="AX380" s="7">
        <f t="shared" si="139"/>
        <v>286.617992836752</v>
      </c>
      <c r="AY380" s="7">
        <f t="shared" si="140"/>
        <v>-0.3113370534320329</v>
      </c>
      <c r="AZ380" s="11">
        <f>AZ379+0.5</f>
        <v>197.5</v>
      </c>
    </row>
    <row r="381" spans="49:52" ht="12.75">
      <c r="AW381" s="7">
        <f t="shared" si="141"/>
        <v>17.015625</v>
      </c>
      <c r="AX381" s="7">
        <f t="shared" si="139"/>
        <v>289.531494140625</v>
      </c>
      <c r="AY381" s="7">
        <f t="shared" si="140"/>
        <v>-0.30999385440998384</v>
      </c>
      <c r="AZ381" s="7">
        <v>198</v>
      </c>
    </row>
    <row r="382" spans="49:52" ht="12.75">
      <c r="AW382" s="7">
        <f t="shared" si="141"/>
        <v>17.101671006944446</v>
      </c>
      <c r="AX382" s="7">
        <f t="shared" si="139"/>
        <v>292.4671512297643</v>
      </c>
      <c r="AY382" s="7">
        <f t="shared" si="140"/>
        <v>-0.30865875546561056</v>
      </c>
      <c r="AZ382" s="11">
        <f>AZ381+0.5</f>
        <v>198.5</v>
      </c>
    </row>
    <row r="383" spans="49:52" ht="12.75">
      <c r="AW383" s="7">
        <f t="shared" si="141"/>
        <v>17.187934027777775</v>
      </c>
      <c r="AX383" s="7">
        <f t="shared" si="139"/>
        <v>295.42507614324114</v>
      </c>
      <c r="AY383" s="7">
        <f t="shared" si="140"/>
        <v>-0.30733169744066097</v>
      </c>
      <c r="AZ383" s="7">
        <v>199</v>
      </c>
    </row>
    <row r="384" spans="49:52" ht="12.75">
      <c r="AW384" s="7">
        <f t="shared" si="141"/>
        <v>17.2744140625</v>
      </c>
      <c r="AX384" s="7">
        <f t="shared" si="139"/>
        <v>298.40538120269775</v>
      </c>
      <c r="AY384" s="7">
        <f t="shared" si="140"/>
        <v>-0.30601262163880405</v>
      </c>
      <c r="AZ384" s="11">
        <f>AZ383+0.5</f>
        <v>199.5</v>
      </c>
    </row>
    <row r="385" spans="49:52" ht="12.75">
      <c r="AW385" s="7">
        <f t="shared" si="141"/>
        <v>17.361111111111114</v>
      </c>
      <c r="AX385" s="7">
        <f t="shared" si="139"/>
        <v>301.4081790123458</v>
      </c>
      <c r="AY385" s="7">
        <f t="shared" si="140"/>
        <v>-0.3047014698225951</v>
      </c>
      <c r="AZ385" s="7">
        <v>200</v>
      </c>
    </row>
    <row r="386" spans="49:52" ht="12.75">
      <c r="AW386" s="7">
        <f t="shared" si="141"/>
        <v>17.448025173611107</v>
      </c>
      <c r="AX386" s="7">
        <f t="shared" si="139"/>
        <v>304.4335824589669</v>
      </c>
      <c r="AY386" s="7">
        <f t="shared" si="140"/>
        <v>-0.3033981842104464</v>
      </c>
      <c r="AZ386" s="11">
        <f>AZ385+0.5</f>
        <v>200.5</v>
      </c>
    </row>
    <row r="387" spans="49:52" ht="12.75">
      <c r="AW387" s="7">
        <f t="shared" si="141"/>
        <v>17.53515625</v>
      </c>
      <c r="AX387" s="7">
        <f t="shared" si="139"/>
        <v>307.48170471191406</v>
      </c>
      <c r="AY387" s="7">
        <f t="shared" si="140"/>
        <v>-0.3021027074735883</v>
      </c>
      <c r="AZ387" s="7">
        <v>201</v>
      </c>
    </row>
    <row r="388" spans="49:52" ht="12.75">
      <c r="AW388" s="7">
        <f t="shared" si="141"/>
        <v>17.62250434027778</v>
      </c>
      <c r="AX388" s="7">
        <f t="shared" si="139"/>
        <v>310.5526592231091</v>
      </c>
      <c r="AY388" s="7">
        <f t="shared" si="140"/>
        <v>-0.3008149827330303</v>
      </c>
      <c r="AZ388" s="11">
        <f>AZ387+0.5</f>
        <v>201.5</v>
      </c>
    </row>
    <row r="389" spans="49:52" ht="12.75">
      <c r="AW389" s="7">
        <f t="shared" si="141"/>
        <v>17.710069444444443</v>
      </c>
      <c r="AX389" s="7">
        <f t="shared" si="139"/>
        <v>313.6465597270447</v>
      </c>
      <c r="AY389" s="7">
        <f t="shared" si="140"/>
        <v>-0.29953495355651577</v>
      </c>
      <c r="AZ389" s="7">
        <v>202</v>
      </c>
    </row>
    <row r="390" spans="49:52" ht="12.75">
      <c r="AW390" s="7">
        <f t="shared" si="141"/>
        <v>17.7978515625</v>
      </c>
      <c r="AX390" s="7">
        <f aca="true" t="shared" si="142" ref="AX390:AX405">_Fn2cc^2</f>
        <v>316.7635202407837</v>
      </c>
      <c r="AY390" s="7">
        <f aca="true" t="shared" si="143" ref="AY390:AY405">10*LOG(_Fn4cc^2/((_Fn4cc-_Cm*_Fn2cc+_Am)^2+_Fn2cc*(_Dm*_Fn2cc-_Bm)^2))</f>
        <v>-0.2982625639554846</v>
      </c>
      <c r="AZ390" s="11">
        <f>AZ389+0.5</f>
        <v>202.5</v>
      </c>
    </row>
    <row r="391" spans="49:52" ht="12.75">
      <c r="AW391" s="7">
        <f aca="true" t="shared" si="144" ref="AW391:AW406">(Fcc/Fs)^2</f>
        <v>17.885850694444446</v>
      </c>
      <c r="AX391" s="7">
        <f t="shared" si="142"/>
        <v>319.90365506395887</v>
      </c>
      <c r="AY391" s="7">
        <f t="shared" si="143"/>
        <v>-0.2969977583820174</v>
      </c>
      <c r="AZ391" s="7">
        <v>203</v>
      </c>
    </row>
    <row r="392" spans="49:52" ht="12.75">
      <c r="AW392" s="7">
        <f t="shared" si="144"/>
        <v>17.974066840277775</v>
      </c>
      <c r="AX392" s="7">
        <f t="shared" si="142"/>
        <v>323.06707877877307</v>
      </c>
      <c r="AY392" s="7">
        <f t="shared" si="143"/>
        <v>-0.2957404817258063</v>
      </c>
      <c r="AZ392" s="11">
        <f>AZ391+0.5</f>
        <v>203.5</v>
      </c>
    </row>
    <row r="393" spans="49:52" ht="12.75">
      <c r="AW393" s="7">
        <f t="shared" si="144"/>
        <v>18.0625</v>
      </c>
      <c r="AX393" s="7">
        <f t="shared" si="142"/>
        <v>326.25390625</v>
      </c>
      <c r="AY393" s="7">
        <f t="shared" si="143"/>
        <v>-0.29449067931109685</v>
      </c>
      <c r="AZ393" s="7">
        <v>204</v>
      </c>
    </row>
    <row r="394" spans="49:52" ht="12.75">
      <c r="AW394" s="7">
        <f t="shared" si="144"/>
        <v>18.151150173611114</v>
      </c>
      <c r="AX394" s="7">
        <f t="shared" si="142"/>
        <v>329.4642526249828</v>
      </c>
      <c r="AY394" s="7">
        <f t="shared" si="143"/>
        <v>-0.29324829689365367</v>
      </c>
      <c r="AZ394" s="11">
        <f>AZ393+0.5</f>
        <v>204.5</v>
      </c>
    </row>
    <row r="395" spans="49:52" ht="12.75">
      <c r="AW395" s="7">
        <f t="shared" si="144"/>
        <v>18.240017361111107</v>
      </c>
      <c r="AX395" s="7">
        <f t="shared" si="142"/>
        <v>332.6982333336346</v>
      </c>
      <c r="AY395" s="7">
        <f t="shared" si="143"/>
        <v>-0.2920132806577213</v>
      </c>
      <c r="AZ395" s="7">
        <v>205</v>
      </c>
    </row>
    <row r="396" spans="49:52" ht="12.75">
      <c r="AW396" s="7">
        <f t="shared" si="144"/>
        <v>18.3291015625</v>
      </c>
      <c r="AX396" s="7">
        <f t="shared" si="142"/>
        <v>335.95596408843994</v>
      </c>
      <c r="AY396" s="7">
        <f t="shared" si="143"/>
        <v>-0.2907855772129865</v>
      </c>
      <c r="AZ396" s="11">
        <f>AZ395+0.5</f>
        <v>205.5</v>
      </c>
    </row>
    <row r="397" spans="49:52" ht="12.75">
      <c r="AW397" s="7">
        <f t="shared" si="144"/>
        <v>18.41840277777778</v>
      </c>
      <c r="AX397" s="7">
        <f t="shared" si="142"/>
        <v>339.2375608844522</v>
      </c>
      <c r="AY397" s="7">
        <f t="shared" si="143"/>
        <v>-0.28956513359154507</v>
      </c>
      <c r="AZ397" s="7">
        <v>206</v>
      </c>
    </row>
    <row r="398" spans="49:52" ht="12.75">
      <c r="AW398" s="7">
        <f t="shared" si="144"/>
        <v>18.507921006944443</v>
      </c>
      <c r="AX398" s="7">
        <f t="shared" si="142"/>
        <v>342.5431399992954</v>
      </c>
      <c r="AY398" s="7">
        <f t="shared" si="143"/>
        <v>-0.28835189724487514</v>
      </c>
      <c r="AZ398" s="11">
        <f>AZ397+0.5</f>
        <v>206.5</v>
      </c>
    </row>
    <row r="399" spans="49:52" ht="12.75">
      <c r="AW399" s="7">
        <f t="shared" si="144"/>
        <v>18.59765625</v>
      </c>
      <c r="AX399" s="7">
        <f t="shared" si="142"/>
        <v>345.87281799316406</v>
      </c>
      <c r="AY399" s="7">
        <f t="shared" si="143"/>
        <v>-0.2871458160408133</v>
      </c>
      <c r="AZ399" s="7">
        <v>207</v>
      </c>
    </row>
    <row r="400" spans="49:52" ht="12.75">
      <c r="AW400" s="7">
        <f t="shared" si="144"/>
        <v>18.687608506944446</v>
      </c>
      <c r="AX400" s="7">
        <f t="shared" si="142"/>
        <v>349.22671170882245</v>
      </c>
      <c r="AY400" s="7">
        <f t="shared" si="143"/>
        <v>-0.2859468382605431</v>
      </c>
      <c r="AZ400" s="11">
        <f>AZ399+0.5</f>
        <v>207.5</v>
      </c>
    </row>
    <row r="401" spans="49:52" ht="12.75">
      <c r="AW401" s="7">
        <f t="shared" si="144"/>
        <v>18.777777777777775</v>
      </c>
      <c r="AX401" s="7">
        <f t="shared" si="142"/>
        <v>352.60493827160485</v>
      </c>
      <c r="AY401" s="7">
        <f t="shared" si="143"/>
        <v>-0.2847549125955702</v>
      </c>
      <c r="AZ401" s="7">
        <v>208</v>
      </c>
    </row>
    <row r="402" spans="49:52" ht="12.75">
      <c r="AW402" s="7">
        <f t="shared" si="144"/>
        <v>18.8681640625</v>
      </c>
      <c r="AX402" s="7">
        <f t="shared" si="142"/>
        <v>356.0076150894165</v>
      </c>
      <c r="AY402" s="7">
        <f t="shared" si="143"/>
        <v>-0.28356998814473516</v>
      </c>
      <c r="AZ402" s="11">
        <f>AZ401+0.5</f>
        <v>208.5</v>
      </c>
    </row>
    <row r="403" spans="49:52" ht="12.75">
      <c r="AW403" s="7">
        <f t="shared" si="144"/>
        <v>18.958767361111114</v>
      </c>
      <c r="AX403" s="7">
        <f t="shared" si="142"/>
        <v>359.4348598527321</v>
      </c>
      <c r="AY403" s="7">
        <f t="shared" si="143"/>
        <v>-0.2823920144112065</v>
      </c>
      <c r="AZ403" s="7">
        <v>209</v>
      </c>
    </row>
    <row r="404" spans="49:52" ht="12.75">
      <c r="AW404" s="7">
        <f t="shared" si="144"/>
        <v>19.049587673611107</v>
      </c>
      <c r="AX404" s="7">
        <f t="shared" si="142"/>
        <v>362.88679053459623</v>
      </c>
      <c r="AY404" s="7">
        <f t="shared" si="143"/>
        <v>-0.28122094129949027</v>
      </c>
      <c r="AZ404" s="11">
        <f>AZ403+0.5</f>
        <v>209.5</v>
      </c>
    </row>
    <row r="405" spans="49:52" ht="12.75">
      <c r="AW405" s="7">
        <f t="shared" si="144"/>
        <v>19.140625</v>
      </c>
      <c r="AX405" s="7">
        <f t="shared" si="142"/>
        <v>366.363525390625</v>
      </c>
      <c r="AY405" s="7">
        <f t="shared" si="143"/>
        <v>-0.2800567191124549</v>
      </c>
      <c r="AZ405" s="7">
        <v>210</v>
      </c>
    </row>
    <row r="406" spans="49:52" ht="12.75">
      <c r="AW406" s="7">
        <f t="shared" si="144"/>
        <v>19.231879340277782</v>
      </c>
      <c r="AX406" s="7">
        <f aca="true" t="shared" si="145" ref="AX406:AX421">_Fn2cc^2</f>
        <v>369.8651829590034</v>
      </c>
      <c r="AY406" s="7">
        <f aca="true" t="shared" si="146" ref="AY406:AY421">10*LOG(_Fn4cc^2/((_Fn4cc-_Cm*_Fn2cc+_Am)^2+_Fn2cc*(_Dm*_Fn2cc-_Bm)^2))</f>
        <v>-0.2788992985483634</v>
      </c>
      <c r="AZ406" s="11">
        <f>AZ405+0.5</f>
        <v>210.5</v>
      </c>
    </row>
    <row r="407" spans="49:52" ht="12.75">
      <c r="AW407" s="7">
        <f aca="true" t="shared" si="147" ref="AW407:AW422">(Fcc/Fs)^2</f>
        <v>19.323350694444443</v>
      </c>
      <c r="AX407" s="7">
        <f t="shared" si="145"/>
        <v>373.3918820604865</v>
      </c>
      <c r="AY407" s="7">
        <f t="shared" si="146"/>
        <v>-0.27774863069789796</v>
      </c>
      <c r="AZ407" s="7">
        <v>211</v>
      </c>
    </row>
    <row r="408" spans="49:52" ht="12.75">
      <c r="AW408" s="7">
        <f t="shared" si="147"/>
        <v>19.4150390625</v>
      </c>
      <c r="AX408" s="7">
        <f t="shared" si="145"/>
        <v>376.9437417984009</v>
      </c>
      <c r="AY408" s="7">
        <f t="shared" si="146"/>
        <v>-0.2766046670412129</v>
      </c>
      <c r="AZ408" s="11">
        <f>AZ407+0.5</f>
        <v>211.5</v>
      </c>
    </row>
    <row r="409" spans="49:52" ht="12.75">
      <c r="AW409" s="7">
        <f t="shared" si="147"/>
        <v>19.506944444444446</v>
      </c>
      <c r="AX409" s="7">
        <f t="shared" si="145"/>
        <v>380.52088155864203</v>
      </c>
      <c r="AY409" s="7">
        <f t="shared" si="146"/>
        <v>-0.2754673594450003</v>
      </c>
      <c r="AZ409" s="7">
        <v>212</v>
      </c>
    </row>
    <row r="410" spans="49:52" ht="12.75">
      <c r="AW410" s="7">
        <f t="shared" si="147"/>
        <v>19.599066840277775</v>
      </c>
      <c r="AX410" s="7">
        <f t="shared" si="145"/>
        <v>384.12342100967584</v>
      </c>
      <c r="AY410" s="7">
        <f t="shared" si="146"/>
        <v>-0.27433666015954555</v>
      </c>
      <c r="AZ410" s="11">
        <f>AZ409+0.5</f>
        <v>212.5</v>
      </c>
    </row>
    <row r="411" spans="49:52" ht="12.75">
      <c r="AW411" s="7">
        <f t="shared" si="147"/>
        <v>19.69140625</v>
      </c>
      <c r="AX411" s="7">
        <f t="shared" si="145"/>
        <v>387.75148010253906</v>
      </c>
      <c r="AY411" s="7">
        <f t="shared" si="146"/>
        <v>-0.2732125218158131</v>
      </c>
      <c r="AZ411" s="7">
        <v>213</v>
      </c>
    </row>
    <row r="412" spans="49:52" ht="12.75">
      <c r="AW412" s="7">
        <f t="shared" si="147"/>
        <v>19.783962673611114</v>
      </c>
      <c r="AX412" s="7">
        <f t="shared" si="145"/>
        <v>391.40517907083785</v>
      </c>
      <c r="AY412" s="7">
        <f t="shared" si="146"/>
        <v>-0.27209489742253373</v>
      </c>
      <c r="AZ412" s="11">
        <f>AZ411+0.5</f>
        <v>213.5</v>
      </c>
    </row>
    <row r="413" spans="49:52" ht="12.75">
      <c r="AW413" s="7">
        <f t="shared" si="147"/>
        <v>19.876736111111107</v>
      </c>
      <c r="AX413" s="7">
        <f t="shared" si="145"/>
        <v>395.0846384307483</v>
      </c>
      <c r="AY413" s="7">
        <f t="shared" si="146"/>
        <v>-0.2709837403633076</v>
      </c>
      <c r="AZ413" s="7">
        <v>214</v>
      </c>
    </row>
    <row r="414" spans="49:52" ht="12.75">
      <c r="AW414" s="7">
        <f t="shared" si="147"/>
        <v>19.9697265625</v>
      </c>
      <c r="AX414" s="7">
        <f t="shared" si="145"/>
        <v>398.78997898101807</v>
      </c>
      <c r="AY414" s="7">
        <f t="shared" si="146"/>
        <v>-0.26987900439372026</v>
      </c>
      <c r="AZ414" s="11">
        <f>AZ413+0.5</f>
        <v>214.5</v>
      </c>
    </row>
    <row r="415" spans="49:52" ht="12.75">
      <c r="AW415" s="7">
        <f t="shared" si="147"/>
        <v>20.062934027777782</v>
      </c>
      <c r="AX415" s="7">
        <f t="shared" si="145"/>
        <v>402.5213218029636</v>
      </c>
      <c r="AY415" s="7">
        <f t="shared" si="146"/>
        <v>-0.26878064363845944</v>
      </c>
      <c r="AZ415" s="7">
        <v>215</v>
      </c>
    </row>
    <row r="416" spans="49:52" ht="12.75">
      <c r="AW416" s="7">
        <f t="shared" si="147"/>
        <v>20.156358506944443</v>
      </c>
      <c r="AX416" s="7">
        <f t="shared" si="145"/>
        <v>406.27878826047163</v>
      </c>
      <c r="AY416" s="7">
        <f t="shared" si="146"/>
        <v>-0.2676886125884654</v>
      </c>
      <c r="AZ416" s="11">
        <f>AZ415+0.5</f>
        <v>215.5</v>
      </c>
    </row>
    <row r="417" spans="49:52" ht="12.75">
      <c r="AW417" s="7">
        <f t="shared" si="147"/>
        <v>20.25</v>
      </c>
      <c r="AX417" s="7">
        <f t="shared" si="145"/>
        <v>410.0625</v>
      </c>
      <c r="AY417" s="7">
        <f t="shared" si="146"/>
        <v>-0.2666028660980769</v>
      </c>
      <c r="AZ417" s="7">
        <v>216</v>
      </c>
    </row>
    <row r="418" spans="49:52" ht="12.75">
      <c r="AW418" s="7">
        <f t="shared" si="147"/>
        <v>20.343858506944446</v>
      </c>
      <c r="AX418" s="7">
        <f t="shared" si="145"/>
        <v>413.8725789505759</v>
      </c>
      <c r="AY418" s="7">
        <f t="shared" si="146"/>
        <v>-0.2655233593821906</v>
      </c>
      <c r="AZ418" s="11">
        <f>AZ417+0.5</f>
        <v>216.5</v>
      </c>
    </row>
    <row r="419" spans="49:52" ht="12.75">
      <c r="AW419" s="7">
        <f t="shared" si="147"/>
        <v>20.437934027777775</v>
      </c>
      <c r="AX419" s="7">
        <f t="shared" si="145"/>
        <v>417.7091473237967</v>
      </c>
      <c r="AY419" s="7">
        <f t="shared" si="146"/>
        <v>-0.2644500480134466</v>
      </c>
      <c r="AZ419" s="7">
        <v>217</v>
      </c>
    </row>
    <row r="420" spans="49:52" ht="12.75">
      <c r="AW420" s="7">
        <f t="shared" si="147"/>
        <v>20.5322265625</v>
      </c>
      <c r="AX420" s="7">
        <f t="shared" si="145"/>
        <v>421.57232761383057</v>
      </c>
      <c r="AY420" s="7">
        <f t="shared" si="146"/>
        <v>-0.26338288791942077</v>
      </c>
      <c r="AZ420" s="11">
        <f>AZ419+0.5</f>
        <v>217.5</v>
      </c>
    </row>
    <row r="421" spans="49:52" ht="12.75">
      <c r="AW421" s="7">
        <f t="shared" si="147"/>
        <v>20.626736111111114</v>
      </c>
      <c r="AX421" s="7">
        <f t="shared" si="145"/>
        <v>425.46224259741524</v>
      </c>
      <c r="AY421" s="7">
        <f t="shared" si="146"/>
        <v>-0.26232183537982284</v>
      </c>
      <c r="AZ421" s="7">
        <v>218</v>
      </c>
    </row>
    <row r="422" spans="49:52" ht="12.75">
      <c r="AW422" s="7">
        <f t="shared" si="147"/>
        <v>20.721462673611107</v>
      </c>
      <c r="AX422" s="7">
        <f aca="true" t="shared" si="148" ref="AX422:AX437">_Fn2cc^2</f>
        <v>429.3790153338584</v>
      </c>
      <c r="AY422" s="7">
        <f aca="true" t="shared" si="149" ref="AY422:AY437">10*LOG(_Fn4cc^2/((_Fn4cc-_Cm*_Fn2cc+_Am)^2+_Fn2cc*(_Dm*_Fn2cc-_Bm)^2))</f>
        <v>-0.2612668470237215</v>
      </c>
      <c r="AZ422" s="11">
        <f>AZ421+0.5</f>
        <v>218.5</v>
      </c>
    </row>
    <row r="423" spans="49:52" ht="12.75">
      <c r="AW423" s="7">
        <f aca="true" t="shared" si="150" ref="AW423:AW438">(Fcc/Fs)^2</f>
        <v>20.81640625</v>
      </c>
      <c r="AX423" s="7">
        <f t="shared" si="148"/>
        <v>433.32276916503906</v>
      </c>
      <c r="AY423" s="7">
        <f t="shared" si="149"/>
        <v>-0.26021787982677713</v>
      </c>
      <c r="AZ423" s="7">
        <v>219</v>
      </c>
    </row>
    <row r="424" spans="49:52" ht="12.75">
      <c r="AW424" s="7">
        <f t="shared" si="150"/>
        <v>20.911566840277782</v>
      </c>
      <c r="AX424" s="7">
        <f t="shared" si="148"/>
        <v>437.2936277154053</v>
      </c>
      <c r="AY424" s="7">
        <f t="shared" si="149"/>
        <v>-0.25917489110849073</v>
      </c>
      <c r="AZ424" s="11">
        <f>AZ423+0.5</f>
        <v>219.5</v>
      </c>
    </row>
    <row r="425" spans="49:52" ht="12.75">
      <c r="AW425" s="7">
        <f t="shared" si="150"/>
        <v>21.006944444444443</v>
      </c>
      <c r="AX425" s="7">
        <f t="shared" si="148"/>
        <v>441.29171489197523</v>
      </c>
      <c r="AY425" s="7">
        <f t="shared" si="149"/>
        <v>-0.25813783852946875</v>
      </c>
      <c r="AZ425" s="7">
        <v>220</v>
      </c>
    </row>
    <row r="426" spans="49:52" ht="12.75">
      <c r="AW426" s="7">
        <f t="shared" si="150"/>
        <v>21.1025390625</v>
      </c>
      <c r="AX426" s="7">
        <f t="shared" si="148"/>
        <v>445.3171548843384</v>
      </c>
      <c r="AY426" s="7">
        <f t="shared" si="149"/>
        <v>-0.2571066800886937</v>
      </c>
      <c r="AZ426" s="11">
        <f>AZ425+0.5</f>
        <v>220.5</v>
      </c>
    </row>
    <row r="427" spans="49:52" ht="12.75">
      <c r="AW427" s="7">
        <f t="shared" si="150"/>
        <v>21.198350694444446</v>
      </c>
      <c r="AX427" s="7">
        <f t="shared" si="148"/>
        <v>449.3700721646533</v>
      </c>
      <c r="AY427" s="7">
        <f t="shared" si="149"/>
        <v>-0.2560813741208303</v>
      </c>
      <c r="AZ427" s="7">
        <v>221</v>
      </c>
    </row>
    <row r="428" spans="49:52" ht="12.75">
      <c r="AW428" s="7">
        <f t="shared" si="150"/>
        <v>21.294379340277775</v>
      </c>
      <c r="AX428" s="7">
        <f t="shared" si="148"/>
        <v>453.4505914876489</v>
      </c>
      <c r="AY428" s="7">
        <f t="shared" si="149"/>
        <v>-0.255061879293524</v>
      </c>
      <c r="AZ428" s="11">
        <f>AZ427+0.5</f>
        <v>221.5</v>
      </c>
    </row>
    <row r="429" spans="49:52" ht="12.75">
      <c r="AW429" s="7">
        <f t="shared" si="150"/>
        <v>21.390625</v>
      </c>
      <c r="AX429" s="7">
        <f t="shared" si="148"/>
        <v>457.558837890625</v>
      </c>
      <c r="AY429" s="7">
        <f t="shared" si="149"/>
        <v>-0.25404815460472663</v>
      </c>
      <c r="AZ429" s="7">
        <v>222</v>
      </c>
    </row>
    <row r="430" spans="49:52" ht="12.75">
      <c r="AW430" s="7">
        <f t="shared" si="150"/>
        <v>21.487087673611114</v>
      </c>
      <c r="AX430" s="7">
        <f t="shared" si="148"/>
        <v>461.6949366934507</v>
      </c>
      <c r="AY430" s="7">
        <f t="shared" si="149"/>
        <v>-0.25304015938003954</v>
      </c>
      <c r="AZ430" s="11">
        <f>AZ429+0.5</f>
        <v>222.5</v>
      </c>
    </row>
    <row r="431" spans="49:52" ht="12.75">
      <c r="AW431" s="7">
        <f t="shared" si="150"/>
        <v>21.583767361111107</v>
      </c>
      <c r="AX431" s="7">
        <f t="shared" si="148"/>
        <v>465.8590134985651</v>
      </c>
      <c r="AY431" s="7">
        <f t="shared" si="149"/>
        <v>-0.2520378532700652</v>
      </c>
      <c r="AZ431" s="7">
        <v>223</v>
      </c>
    </row>
    <row r="432" spans="49:52" ht="12.75">
      <c r="AW432" s="7">
        <f t="shared" si="150"/>
        <v>21.6806640625</v>
      </c>
      <c r="AX432" s="7">
        <f t="shared" si="148"/>
        <v>470.051194190979</v>
      </c>
      <c r="AY432" s="7">
        <f t="shared" si="149"/>
        <v>-0.25104119624778215</v>
      </c>
      <c r="AZ432" s="11">
        <f>AZ431+0.5</f>
        <v>223.5</v>
      </c>
    </row>
    <row r="433" spans="49:52" ht="12.75">
      <c r="AW433" s="7">
        <f t="shared" si="150"/>
        <v>21.777777777777782</v>
      </c>
      <c r="AX433" s="7">
        <f t="shared" si="148"/>
        <v>474.2716049382718</v>
      </c>
      <c r="AY433" s="7">
        <f t="shared" si="149"/>
        <v>-0.2500501486059256</v>
      </c>
      <c r="AZ433" s="7">
        <v>224</v>
      </c>
    </row>
    <row r="434" spans="49:52" ht="12.75">
      <c r="AW434" s="7">
        <f t="shared" si="150"/>
        <v>21.875108506944443</v>
      </c>
      <c r="AX434" s="7">
        <f t="shared" si="148"/>
        <v>478.52037219059315</v>
      </c>
      <c r="AY434" s="7">
        <f t="shared" si="149"/>
        <v>-0.24906467095439738</v>
      </c>
      <c r="AZ434" s="11">
        <f>AZ433+0.5</f>
        <v>224.5</v>
      </c>
    </row>
    <row r="435" spans="49:52" ht="12.75">
      <c r="AW435" s="7">
        <f t="shared" si="150"/>
        <v>21.97265625</v>
      </c>
      <c r="AX435" s="7">
        <f t="shared" si="148"/>
        <v>482.79762268066406</v>
      </c>
      <c r="AY435" s="7">
        <f t="shared" si="149"/>
        <v>-0.2480847242176781</v>
      </c>
      <c r="AZ435" s="7">
        <v>225</v>
      </c>
    </row>
    <row r="436" spans="49:52" ht="12.75">
      <c r="AW436" s="7">
        <f t="shared" si="150"/>
        <v>22.070421006944446</v>
      </c>
      <c r="AX436" s="7">
        <f t="shared" si="148"/>
        <v>487.1034834237747</v>
      </c>
      <c r="AY436" s="7">
        <f t="shared" si="149"/>
        <v>-0.24711026963227095</v>
      </c>
      <c r="AZ436" s="11">
        <f>AZ435+0.5</f>
        <v>225.5</v>
      </c>
    </row>
    <row r="437" spans="49:52" ht="12.75">
      <c r="AW437" s="7">
        <f t="shared" si="150"/>
        <v>22.168402777777775</v>
      </c>
      <c r="AX437" s="7">
        <f t="shared" si="148"/>
        <v>491.4380817177854</v>
      </c>
      <c r="AY437" s="7">
        <f t="shared" si="149"/>
        <v>-0.24614126874414355</v>
      </c>
      <c r="AZ437" s="7">
        <v>226</v>
      </c>
    </row>
    <row r="438" spans="49:52" ht="12.75">
      <c r="AW438" s="7">
        <f t="shared" si="150"/>
        <v>22.2666015625</v>
      </c>
      <c r="AX438" s="7">
        <f aca="true" t="shared" si="151" ref="AX438:AX453">_Fn2cc^2</f>
        <v>495.80154514312744</v>
      </c>
      <c r="AY438" s="7">
        <f aca="true" t="shared" si="152" ref="AY438:AY453">10*LOG(_Fn4cc^2/((_Fn4cc-_Cm*_Fn2cc+_Am)^2+_Fn2cc*(_Dm*_Fn2cc-_Bm)^2))</f>
        <v>-0.24517768340620388</v>
      </c>
      <c r="AZ438" s="11">
        <f>AZ437+0.5</f>
        <v>226.5</v>
      </c>
    </row>
    <row r="439" spans="49:52" ht="12.75">
      <c r="AW439" s="7">
        <f aca="true" t="shared" si="153" ref="AW439:AW454">(Fcc/Fs)^2</f>
        <v>22.365017361111114</v>
      </c>
      <c r="AX439" s="7">
        <f t="shared" si="151"/>
        <v>500.19400156280153</v>
      </c>
      <c r="AY439" s="7">
        <f t="shared" si="152"/>
        <v>-0.24421947577577843</v>
      </c>
      <c r="AZ439" s="7">
        <v>227</v>
      </c>
    </row>
    <row r="440" spans="49:52" ht="12.75">
      <c r="AW440" s="7">
        <f t="shared" si="153"/>
        <v>22.463650173611107</v>
      </c>
      <c r="AX440" s="7">
        <f t="shared" si="151"/>
        <v>504.61557912237834</v>
      </c>
      <c r="AY440" s="7">
        <f t="shared" si="152"/>
        <v>-0.24326660831211755</v>
      </c>
      <c r="AZ440" s="11">
        <f>AZ439+0.5</f>
        <v>227.5</v>
      </c>
    </row>
    <row r="441" spans="49:52" ht="12.75">
      <c r="AW441" s="7">
        <f t="shared" si="153"/>
        <v>22.5625</v>
      </c>
      <c r="AX441" s="7">
        <f t="shared" si="151"/>
        <v>509.06640625</v>
      </c>
      <c r="AY441" s="7">
        <f t="shared" si="152"/>
        <v>-0.24231904377391003</v>
      </c>
      <c r="AZ441" s="7">
        <v>228</v>
      </c>
    </row>
    <row r="442" spans="49:52" ht="12.75">
      <c r="AW442" s="7">
        <f t="shared" si="153"/>
        <v>22.661566840277782</v>
      </c>
      <c r="AX442" s="7">
        <f t="shared" si="151"/>
        <v>513.5466116563775</v>
      </c>
      <c r="AY442" s="7">
        <f t="shared" si="152"/>
        <v>-0.24137674521681554</v>
      </c>
      <c r="AZ442" s="11">
        <f>AZ441+0.5</f>
        <v>228.5</v>
      </c>
    </row>
    <row r="443" spans="49:52" ht="12.75">
      <c r="AW443" s="7">
        <f t="shared" si="153"/>
        <v>22.760850694444443</v>
      </c>
      <c r="AX443" s="7">
        <f t="shared" si="151"/>
        <v>518.0563243347921</v>
      </c>
      <c r="AY443" s="7">
        <f t="shared" si="152"/>
        <v>-0.24043967599102445</v>
      </c>
      <c r="AZ443" s="7">
        <v>229</v>
      </c>
    </row>
    <row r="444" spans="49:52" ht="12.75">
      <c r="AW444" s="7">
        <f t="shared" si="153"/>
        <v>22.8603515625</v>
      </c>
      <c r="AX444" s="7">
        <f t="shared" si="151"/>
        <v>522.5956735610962</v>
      </c>
      <c r="AY444" s="7">
        <f t="shared" si="152"/>
        <v>-0.239507799738808</v>
      </c>
      <c r="AZ444" s="11">
        <f>AZ443+0.5</f>
        <v>229.5</v>
      </c>
    </row>
    <row r="445" spans="49:52" ht="12.75">
      <c r="AW445" s="7">
        <f t="shared" si="153"/>
        <v>22.960069444444446</v>
      </c>
      <c r="AX445" s="7">
        <f t="shared" si="151"/>
        <v>527.1647888937115</v>
      </c>
      <c r="AY445" s="7">
        <f t="shared" si="152"/>
        <v>-0.23858108039211803</v>
      </c>
      <c r="AZ445" s="7">
        <v>230</v>
      </c>
    </row>
    <row r="446" spans="49:52" ht="12.75">
      <c r="AW446" s="7">
        <f t="shared" si="153"/>
        <v>23.060004340277775</v>
      </c>
      <c r="AX446" s="7">
        <f t="shared" si="151"/>
        <v>531.7638001736299</v>
      </c>
      <c r="AY446" s="7">
        <f t="shared" si="152"/>
        <v>-0.23765948217018046</v>
      </c>
      <c r="AZ446" s="11">
        <f>AZ445+0.5</f>
        <v>230.5</v>
      </c>
    </row>
    <row r="447" spans="49:52" ht="12.75">
      <c r="AW447" s="7">
        <f t="shared" si="153"/>
        <v>23.16015625</v>
      </c>
      <c r="AX447" s="7">
        <f t="shared" si="151"/>
        <v>536.3928375244141</v>
      </c>
      <c r="AY447" s="7">
        <f t="shared" si="152"/>
        <v>-0.23674296957711266</v>
      </c>
      <c r="AZ447" s="7">
        <v>231</v>
      </c>
    </row>
    <row r="448" spans="49:52" ht="12.75">
      <c r="AW448" s="7">
        <f t="shared" si="153"/>
        <v>23.260525173611114</v>
      </c>
      <c r="AX448" s="7">
        <f t="shared" si="151"/>
        <v>541.0520313521963</v>
      </c>
      <c r="AY448" s="7">
        <f t="shared" si="152"/>
        <v>-0.23583150739955772</v>
      </c>
      <c r="AZ448" s="11">
        <f>AZ447+0.5</f>
        <v>231.5</v>
      </c>
    </row>
    <row r="449" spans="49:52" ht="12.75">
      <c r="AW449" s="7">
        <f t="shared" si="153"/>
        <v>23.361111111111107</v>
      </c>
      <c r="AX449" s="7">
        <f t="shared" si="151"/>
        <v>545.7415123456789</v>
      </c>
      <c r="AY449" s="7">
        <f t="shared" si="152"/>
        <v>-0.23492506070433689</v>
      </c>
      <c r="AZ449" s="7">
        <v>232</v>
      </c>
    </row>
    <row r="450" spans="49:52" ht="12.75">
      <c r="AW450" s="7">
        <f t="shared" si="153"/>
        <v>23.4619140625</v>
      </c>
      <c r="AX450" s="7">
        <f t="shared" si="151"/>
        <v>550.4614114761353</v>
      </c>
      <c r="AY450" s="7">
        <f t="shared" si="152"/>
        <v>-0.23402359483611263</v>
      </c>
      <c r="AZ450" s="11">
        <f>AZ449+0.5</f>
        <v>232.5</v>
      </c>
    </row>
    <row r="451" spans="49:52" ht="12.75">
      <c r="AW451" s="7">
        <f t="shared" si="153"/>
        <v>23.562934027777782</v>
      </c>
      <c r="AX451" s="7">
        <f t="shared" si="151"/>
        <v>555.211859997408</v>
      </c>
      <c r="AY451" s="7">
        <f t="shared" si="152"/>
        <v>-0.23312707541508104</v>
      </c>
      <c r="AZ451" s="7">
        <v>233</v>
      </c>
    </row>
    <row r="452" spans="49:52" ht="12.75">
      <c r="AW452" s="7">
        <f t="shared" si="153"/>
        <v>23.664171006944443</v>
      </c>
      <c r="AX452" s="7">
        <f t="shared" si="151"/>
        <v>559.99298944591</v>
      </c>
      <c r="AY452" s="7">
        <f t="shared" si="152"/>
        <v>-0.2322354683346623</v>
      </c>
      <c r="AZ452" s="11">
        <f>AZ451+0.5</f>
        <v>233.5</v>
      </c>
    </row>
    <row r="453" spans="49:52" ht="12.75">
      <c r="AW453" s="7">
        <f t="shared" si="153"/>
        <v>23.765625</v>
      </c>
      <c r="AX453" s="7">
        <f t="shared" si="151"/>
        <v>564.804931640625</v>
      </c>
      <c r="AY453" s="7">
        <f t="shared" si="152"/>
        <v>-0.23134873975922468</v>
      </c>
      <c r="AZ453" s="7">
        <v>234</v>
      </c>
    </row>
    <row r="454" spans="49:52" ht="12.75">
      <c r="AW454" s="7">
        <f t="shared" si="153"/>
        <v>23.867296006944446</v>
      </c>
      <c r="AX454" s="7">
        <f aca="true" t="shared" si="154" ref="AX454:AX469">_Fn2cc^2</f>
        <v>569.6478186831063</v>
      </c>
      <c r="AY454" s="7">
        <f aca="true" t="shared" si="155" ref="AY454:AY469">10*LOG(_Fn4cc^2/((_Fn4cc-_Cm*_Fn2cc+_Am)^2+_Fn2cc*(_Dm*_Fn2cc-_Bm)^2))</f>
        <v>-0.23046685612182038</v>
      </c>
      <c r="AZ454" s="11">
        <f>AZ453+0.5</f>
        <v>234.5</v>
      </c>
    </row>
    <row r="455" spans="49:52" ht="12.75">
      <c r="AW455" s="7">
        <f aca="true" t="shared" si="156" ref="AW455:AW470">(Fcc/Fs)^2</f>
        <v>23.969184027777775</v>
      </c>
      <c r="AX455" s="7">
        <f t="shared" si="154"/>
        <v>574.5217829574772</v>
      </c>
      <c r="AY455" s="7">
        <f t="shared" si="155"/>
        <v>-0.22958978412193193</v>
      </c>
      <c r="AZ455" s="7">
        <v>235</v>
      </c>
    </row>
    <row r="456" spans="49:52" ht="12.75">
      <c r="AW456" s="7">
        <f t="shared" si="156"/>
        <v>24.0712890625</v>
      </c>
      <c r="AX456" s="7">
        <f t="shared" si="154"/>
        <v>579.4269571304321</v>
      </c>
      <c r="AY456" s="7">
        <f t="shared" si="155"/>
        <v>-0.22871749072323994</v>
      </c>
      <c r="AZ456" s="11">
        <f>AZ455+0.5</f>
        <v>235.5</v>
      </c>
    </row>
    <row r="457" spans="49:52" ht="12.75">
      <c r="AW457" s="7">
        <f t="shared" si="156"/>
        <v>24.173611111111114</v>
      </c>
      <c r="AX457" s="7">
        <f t="shared" si="154"/>
        <v>584.3634741512348</v>
      </c>
      <c r="AY457" s="7">
        <f t="shared" si="155"/>
        <v>-0.2278499431514139</v>
      </c>
      <c r="AZ457" s="7">
        <v>236</v>
      </c>
    </row>
    <row r="458" spans="49:52" ht="12.75">
      <c r="AW458" s="7">
        <f t="shared" si="156"/>
        <v>24.276150173611107</v>
      </c>
      <c r="AX458" s="7">
        <f t="shared" si="154"/>
        <v>589.3314672517185</v>
      </c>
      <c r="AY458" s="7">
        <f t="shared" si="155"/>
        <v>-0.22698710889190402</v>
      </c>
      <c r="AZ458" s="11">
        <f>AZ457+0.5</f>
        <v>236.5</v>
      </c>
    </row>
    <row r="459" spans="49:52" ht="12.75">
      <c r="AW459" s="7">
        <f t="shared" si="156"/>
        <v>24.37890625</v>
      </c>
      <c r="AX459" s="7">
        <f t="shared" si="154"/>
        <v>594.3310699462891</v>
      </c>
      <c r="AY459" s="7">
        <f t="shared" si="155"/>
        <v>-0.2261289556877655</v>
      </c>
      <c r="AZ459" s="7">
        <v>237</v>
      </c>
    </row>
    <row r="460" spans="49:52" ht="12.75">
      <c r="AW460" s="7">
        <f t="shared" si="156"/>
        <v>24.481879340277782</v>
      </c>
      <c r="AX460" s="7">
        <f t="shared" si="154"/>
        <v>599.3624160319201</v>
      </c>
      <c r="AY460" s="7">
        <f t="shared" si="155"/>
        <v>-0.22527545153749007</v>
      </c>
      <c r="AZ460" s="11">
        <f>AZ459+0.5</f>
        <v>237.5</v>
      </c>
    </row>
    <row r="461" spans="49:52" ht="12.75">
      <c r="AW461" s="7">
        <f t="shared" si="156"/>
        <v>24.585069444444443</v>
      </c>
      <c r="AX461" s="7">
        <f t="shared" si="154"/>
        <v>604.4256395881558</v>
      </c>
      <c r="AY461" s="7">
        <f t="shared" si="155"/>
        <v>-0.2244265646928576</v>
      </c>
      <c r="AZ461" s="7">
        <v>238</v>
      </c>
    </row>
    <row r="462" spans="49:52" ht="12.75">
      <c r="AW462" s="7">
        <f t="shared" si="156"/>
        <v>24.6884765625</v>
      </c>
      <c r="AX462" s="7">
        <f t="shared" si="154"/>
        <v>609.5208749771118</v>
      </c>
      <c r="AY462" s="7">
        <f t="shared" si="155"/>
        <v>-0.22358226365680162</v>
      </c>
      <c r="AZ462" s="11">
        <f>AZ461+0.5</f>
        <v>238.5</v>
      </c>
    </row>
    <row r="463" spans="49:52" ht="12.75">
      <c r="AW463" s="7">
        <f t="shared" si="156"/>
        <v>24.792100694444446</v>
      </c>
      <c r="AX463" s="7">
        <f t="shared" si="154"/>
        <v>614.6482568434728</v>
      </c>
      <c r="AY463" s="7">
        <f t="shared" si="155"/>
        <v>-0.22274251718129298</v>
      </c>
      <c r="AZ463" s="7">
        <v>239</v>
      </c>
    </row>
    <row r="464" spans="49:52" ht="12.75">
      <c r="AW464" s="7">
        <f t="shared" si="156"/>
        <v>24.895941840277775</v>
      </c>
      <c r="AX464" s="7">
        <f t="shared" si="154"/>
        <v>619.8079201144935</v>
      </c>
      <c r="AY464" s="7">
        <f t="shared" si="155"/>
        <v>-0.22190729426524108</v>
      </c>
      <c r="AZ464" s="11">
        <f>AZ463+0.5</f>
        <v>239.5</v>
      </c>
    </row>
    <row r="465" spans="49:52" ht="12.75">
      <c r="AW465" s="7">
        <f t="shared" si="156"/>
        <v>25</v>
      </c>
      <c r="AX465" s="7">
        <f t="shared" si="154"/>
        <v>625</v>
      </c>
      <c r="AY465" s="7">
        <f t="shared" si="155"/>
        <v>-0.221076564152409</v>
      </c>
      <c r="AZ465" s="7">
        <v>240</v>
      </c>
    </row>
    <row r="466" spans="49:52" ht="12.75">
      <c r="AW466" s="7">
        <f t="shared" si="156"/>
        <v>25.104275173611114</v>
      </c>
      <c r="AX466" s="7">
        <f t="shared" si="154"/>
        <v>630.2246319923873</v>
      </c>
      <c r="AY466" s="7">
        <f t="shared" si="155"/>
        <v>-0.22025029632934506</v>
      </c>
      <c r="AZ466" s="11">
        <f>AZ465+0.5</f>
        <v>240.5</v>
      </c>
    </row>
    <row r="467" spans="49:52" ht="12.75">
      <c r="AW467" s="7">
        <f t="shared" si="156"/>
        <v>25.208767361111107</v>
      </c>
      <c r="AX467" s="7">
        <f t="shared" si="154"/>
        <v>635.4819518666206</v>
      </c>
      <c r="AY467" s="7">
        <f t="shared" si="155"/>
        <v>-0.2194284605233318</v>
      </c>
      <c r="AZ467" s="7">
        <v>241</v>
      </c>
    </row>
    <row r="468" spans="49:52" ht="12.75">
      <c r="AW468" s="7">
        <f t="shared" si="156"/>
        <v>25.3134765625</v>
      </c>
      <c r="AX468" s="7">
        <f t="shared" si="154"/>
        <v>640.7720956802368</v>
      </c>
      <c r="AY468" s="7">
        <f t="shared" si="155"/>
        <v>-0.21861102670035423</v>
      </c>
      <c r="AZ468" s="11">
        <f>AZ467+0.5</f>
        <v>241.5</v>
      </c>
    </row>
    <row r="469" spans="49:52" ht="12.75">
      <c r="AW469" s="7">
        <f t="shared" si="156"/>
        <v>25.418402777777782</v>
      </c>
      <c r="AX469" s="7">
        <f t="shared" si="154"/>
        <v>646.0951997733413</v>
      </c>
      <c r="AY469" s="7">
        <f t="shared" si="155"/>
        <v>-0.21779796506307225</v>
      </c>
      <c r="AZ469" s="7">
        <v>242</v>
      </c>
    </row>
    <row r="470" spans="49:52" ht="12.75">
      <c r="AW470" s="7">
        <f t="shared" si="156"/>
        <v>25.523546006944443</v>
      </c>
      <c r="AX470" s="7">
        <f aca="true" t="shared" si="157" ref="AX470:AX485">_Fn2cc^2</f>
        <v>651.4514007686096</v>
      </c>
      <c r="AY470" s="7">
        <f aca="true" t="shared" si="158" ref="AY470:AY485">10*LOG(_Fn4cc^2/((_Fn4cc-_Cm*_Fn2cc+_Am)^2+_Fn2cc*(_Dm*_Fn2cc-_Bm)^2))</f>
        <v>-0.21698924604882808</v>
      </c>
      <c r="AZ470" s="11">
        <f>AZ469+0.5</f>
        <v>242.5</v>
      </c>
    </row>
    <row r="471" spans="49:52" ht="12.75">
      <c r="AW471" s="7">
        <f aca="true" t="shared" si="159" ref="AW471:AW486">(Fcc/Fs)^2</f>
        <v>25.62890625</v>
      </c>
      <c r="AX471" s="7">
        <f t="shared" si="157"/>
        <v>656.8408355712891</v>
      </c>
      <c r="AY471" s="7">
        <f t="shared" si="158"/>
        <v>-0.21618484032765245</v>
      </c>
      <c r="AZ471" s="7">
        <v>243</v>
      </c>
    </row>
    <row r="472" spans="49:52" ht="12.75">
      <c r="AW472" s="7">
        <f t="shared" si="159"/>
        <v>25.734483506944446</v>
      </c>
      <c r="AX472" s="7">
        <f t="shared" si="157"/>
        <v>662.2636413691957</v>
      </c>
      <c r="AY472" s="7">
        <f t="shared" si="158"/>
        <v>-0.21538471880028984</v>
      </c>
      <c r="AZ472" s="11">
        <f>AZ471+0.5</f>
        <v>243.5</v>
      </c>
    </row>
    <row r="473" spans="49:52" ht="12.75">
      <c r="AW473" s="7">
        <f t="shared" si="159"/>
        <v>25.840277777777775</v>
      </c>
      <c r="AX473" s="7">
        <f t="shared" si="157"/>
        <v>667.7199556327159</v>
      </c>
      <c r="AY473" s="7">
        <f t="shared" si="158"/>
        <v>-0.21458885259625138</v>
      </c>
      <c r="AZ473" s="7">
        <v>244</v>
      </c>
    </row>
    <row r="474" spans="49:52" ht="12.75">
      <c r="AW474" s="7">
        <f t="shared" si="159"/>
        <v>25.9462890625</v>
      </c>
      <c r="AX474" s="7">
        <f t="shared" si="157"/>
        <v>673.2099161148071</v>
      </c>
      <c r="AY474" s="7">
        <f t="shared" si="158"/>
        <v>-0.21379721307187224</v>
      </c>
      <c r="AZ474" s="11">
        <f>AZ473+0.5</f>
        <v>244.5</v>
      </c>
    </row>
    <row r="475" spans="49:52" ht="12.75">
      <c r="AW475" s="7">
        <f t="shared" si="159"/>
        <v>26.052517361111114</v>
      </c>
      <c r="AX475" s="7">
        <f t="shared" si="157"/>
        <v>678.733660850996</v>
      </c>
      <c r="AY475" s="7">
        <f t="shared" si="158"/>
        <v>-0.21300977180838424</v>
      </c>
      <c r="AZ475" s="7">
        <v>245</v>
      </c>
    </row>
    <row r="476" spans="49:52" ht="12.75">
      <c r="AW476" s="7">
        <f t="shared" si="159"/>
        <v>26.158962673611107</v>
      </c>
      <c r="AX476" s="7">
        <f t="shared" si="157"/>
        <v>684.2913281593792</v>
      </c>
      <c r="AY476" s="7">
        <f t="shared" si="158"/>
        <v>-0.21222650061000953</v>
      </c>
      <c r="AZ476" s="11">
        <f>AZ475+0.5</f>
        <v>245.5</v>
      </c>
    </row>
    <row r="477" spans="49:52" ht="12.75">
      <c r="AW477" s="7">
        <f t="shared" si="159"/>
        <v>26.265625</v>
      </c>
      <c r="AX477" s="7">
        <f t="shared" si="157"/>
        <v>689.883056640625</v>
      </c>
      <c r="AY477" s="7">
        <f t="shared" si="158"/>
        <v>-0.21144737150206694</v>
      </c>
      <c r="AZ477" s="7">
        <v>246</v>
      </c>
    </row>
    <row r="478" spans="49:52" ht="12.75">
      <c r="AW478" s="7">
        <f t="shared" si="159"/>
        <v>26.372504340277782</v>
      </c>
      <c r="AX478" s="7">
        <f t="shared" si="157"/>
        <v>695.5089851779704</v>
      </c>
      <c r="AY478" s="7">
        <f t="shared" si="158"/>
        <v>-0.21067235672909684</v>
      </c>
      <c r="AZ478" s="11">
        <f>AZ477+0.5</f>
        <v>246.5</v>
      </c>
    </row>
    <row r="479" spans="49:52" ht="12.75">
      <c r="AW479" s="7">
        <f t="shared" si="159"/>
        <v>26.479600694444443</v>
      </c>
      <c r="AX479" s="7">
        <f t="shared" si="157"/>
        <v>701.1692529372226</v>
      </c>
      <c r="AY479" s="7">
        <f t="shared" si="158"/>
        <v>-0.20990142875299816</v>
      </c>
      <c r="AZ479" s="7">
        <v>247</v>
      </c>
    </row>
    <row r="480" spans="49:52" ht="12.75">
      <c r="AW480" s="7">
        <f t="shared" si="159"/>
        <v>26.5869140625</v>
      </c>
      <c r="AX480" s="7">
        <f t="shared" si="157"/>
        <v>706.8639993667603</v>
      </c>
      <c r="AY480" s="7">
        <f t="shared" si="158"/>
        <v>-0.20913456025117436</v>
      </c>
      <c r="AZ480" s="11">
        <f>AZ479+0.5</f>
        <v>247.5</v>
      </c>
    </row>
    <row r="481" spans="49:52" ht="12.75">
      <c r="AW481" s="7">
        <f t="shared" si="159"/>
        <v>26.694444444444446</v>
      </c>
      <c r="AX481" s="7">
        <f t="shared" si="157"/>
        <v>712.593364197531</v>
      </c>
      <c r="AY481" s="7">
        <f t="shared" si="158"/>
        <v>-0.20837172411471494</v>
      </c>
      <c r="AZ481" s="7">
        <v>248</v>
      </c>
    </row>
    <row r="482" spans="49:52" ht="12.75">
      <c r="AW482" s="7">
        <f t="shared" si="159"/>
        <v>26.802191840277775</v>
      </c>
      <c r="AX482" s="7">
        <f t="shared" si="157"/>
        <v>718.3574874430525</v>
      </c>
      <c r="AY482" s="7">
        <f t="shared" si="158"/>
        <v>-0.20761289344656822</v>
      </c>
      <c r="AZ482" s="11">
        <f>AZ481+0.5</f>
        <v>248.5</v>
      </c>
    </row>
    <row r="483" spans="49:52" ht="12.75">
      <c r="AW483" s="7">
        <f t="shared" si="159"/>
        <v>26.91015625</v>
      </c>
      <c r="AX483" s="7">
        <f t="shared" si="157"/>
        <v>724.1565093994141</v>
      </c>
      <c r="AY483" s="7">
        <f t="shared" si="158"/>
        <v>-0.20685804155974385</v>
      </c>
      <c r="AZ483" s="7">
        <v>249</v>
      </c>
    </row>
    <row r="484" spans="49:52" ht="12.75">
      <c r="AW484" s="7">
        <f t="shared" si="159"/>
        <v>27.018337673611114</v>
      </c>
      <c r="AX484" s="7">
        <f t="shared" si="157"/>
        <v>729.9905706452737</v>
      </c>
      <c r="AY484" s="7">
        <f t="shared" si="158"/>
        <v>-0.20610714197552393</v>
      </c>
      <c r="AZ484" s="11">
        <f>AZ483+0.5</f>
        <v>249.5</v>
      </c>
    </row>
    <row r="485" spans="49:52" ht="12.75">
      <c r="AW485" s="7">
        <f t="shared" si="159"/>
        <v>27.126736111111107</v>
      </c>
      <c r="AX485" s="7">
        <f t="shared" si="157"/>
        <v>735.8598120418593</v>
      </c>
      <c r="AY485" s="7">
        <f t="shared" si="158"/>
        <v>-0.20536016842169735</v>
      </c>
      <c r="AZ485" s="7">
        <v>250</v>
      </c>
    </row>
    <row r="486" spans="49:52" ht="12.75">
      <c r="AW486" s="7">
        <f t="shared" si="159"/>
        <v>27.2353515625</v>
      </c>
      <c r="AX486" s="7">
        <f aca="true" t="shared" si="160" ref="AX486:AX501">_Fn2cc^2</f>
        <v>741.7643747329712</v>
      </c>
      <c r="AY486" s="7">
        <f aca="true" t="shared" si="161" ref="AY486:AY501">10*LOG(_Fn4cc^2/((_Fn4cc-_Cm*_Fn2cc+_Am)^2+_Fn2cc*(_Dm*_Fn2cc-_Bm)^2))</f>
        <v>-0.20461709483079232</v>
      </c>
      <c r="AZ486" s="11">
        <f>AZ485+0.5</f>
        <v>250.5</v>
      </c>
    </row>
    <row r="487" spans="49:52" ht="12.75">
      <c r="AW487" s="7">
        <f aca="true" t="shared" si="162" ref="AW487:AW502">(Fcc/Fs)^2</f>
        <v>27.344184027777782</v>
      </c>
      <c r="AX487" s="7">
        <f t="shared" si="160"/>
        <v>747.7044001449776</v>
      </c>
      <c r="AY487" s="7">
        <f t="shared" si="161"/>
        <v>-0.2038778953383477</v>
      </c>
      <c r="AZ487" s="7">
        <v>251</v>
      </c>
    </row>
    <row r="488" spans="49:52" ht="12.75">
      <c r="AW488" s="7">
        <f t="shared" si="162"/>
        <v>27.453233506944443</v>
      </c>
      <c r="AX488" s="7">
        <f t="shared" si="160"/>
        <v>753.6800299868171</v>
      </c>
      <c r="AY488" s="7">
        <f t="shared" si="161"/>
        <v>-0.20314254428117354</v>
      </c>
      <c r="AZ488" s="11">
        <f>AZ487+0.5</f>
        <v>251.5</v>
      </c>
    </row>
    <row r="489" spans="49:52" ht="12.75">
      <c r="AW489" s="7">
        <f t="shared" si="162"/>
        <v>27.5625</v>
      </c>
      <c r="AX489" s="7">
        <f t="shared" si="160"/>
        <v>759.69140625</v>
      </c>
      <c r="AY489" s="7">
        <f t="shared" si="161"/>
        <v>-0.20241101619564109</v>
      </c>
      <c r="AZ489" s="7">
        <v>252</v>
      </c>
    </row>
    <row r="490" spans="49:52" ht="12.75">
      <c r="AW490" s="7">
        <f t="shared" si="162"/>
        <v>27.671983506944446</v>
      </c>
      <c r="AX490" s="7">
        <f t="shared" si="160"/>
        <v>765.7386712086054</v>
      </c>
      <c r="AY490" s="7">
        <f t="shared" si="161"/>
        <v>-0.2016832858159912</v>
      </c>
      <c r="AZ490" s="11">
        <f>AZ489+0.5</f>
        <v>252.5</v>
      </c>
    </row>
    <row r="491" spans="49:52" ht="12.75">
      <c r="AW491" s="7">
        <f t="shared" si="162"/>
        <v>27.781684027777775</v>
      </c>
      <c r="AX491" s="7">
        <f t="shared" si="160"/>
        <v>771.8219674192827</v>
      </c>
      <c r="AY491" s="7">
        <f t="shared" si="161"/>
        <v>-0.20095932807263736</v>
      </c>
      <c r="AZ491" s="7">
        <v>253</v>
      </c>
    </row>
    <row r="492" spans="49:52" ht="12.75">
      <c r="AW492" s="7">
        <f t="shared" si="162"/>
        <v>27.8916015625</v>
      </c>
      <c r="AX492" s="7">
        <f t="shared" si="160"/>
        <v>777.9414377212524</v>
      </c>
      <c r="AY492" s="7">
        <f t="shared" si="161"/>
        <v>-0.20023911809050965</v>
      </c>
      <c r="AZ492" s="11">
        <f>AZ491+0.5</f>
        <v>253.5</v>
      </c>
    </row>
    <row r="493" spans="49:52" ht="12.75">
      <c r="AW493" s="7">
        <f t="shared" si="162"/>
        <v>28.001736111111114</v>
      </c>
      <c r="AX493" s="7">
        <f t="shared" si="160"/>
        <v>784.0972252363042</v>
      </c>
      <c r="AY493" s="7">
        <f t="shared" si="161"/>
        <v>-0.19952263118738822</v>
      </c>
      <c r="AZ493" s="7">
        <v>254</v>
      </c>
    </row>
    <row r="494" spans="49:52" ht="12.75">
      <c r="AW494" s="7">
        <f t="shared" si="162"/>
        <v>28.112087673611107</v>
      </c>
      <c r="AX494" s="7">
        <f t="shared" si="160"/>
        <v>790.2894733687975</v>
      </c>
      <c r="AY494" s="7">
        <f t="shared" si="161"/>
        <v>-0.1988098428722656</v>
      </c>
      <c r="AZ494" s="11">
        <f>AZ493+0.5</f>
        <v>254.5</v>
      </c>
    </row>
    <row r="495" spans="49:52" ht="12.75">
      <c r="AW495" s="7">
        <f t="shared" si="162"/>
        <v>28.22265625</v>
      </c>
      <c r="AX495" s="7">
        <f t="shared" si="160"/>
        <v>796.5183258056641</v>
      </c>
      <c r="AY495" s="7">
        <f t="shared" si="161"/>
        <v>-0.19810072884371585</v>
      </c>
      <c r="AZ495" s="7">
        <v>255</v>
      </c>
    </row>
    <row r="496" spans="49:52" ht="12.75">
      <c r="AW496" s="7">
        <f t="shared" si="162"/>
        <v>28.333441840277782</v>
      </c>
      <c r="AX496" s="7">
        <f t="shared" si="160"/>
        <v>802.7839265164037</v>
      </c>
      <c r="AY496" s="7">
        <f t="shared" si="161"/>
        <v>-0.19739526498829058</v>
      </c>
      <c r="AZ496" s="11">
        <f>AZ495+0.5</f>
        <v>255.5</v>
      </c>
    </row>
    <row r="497" spans="49:52" ht="12.75">
      <c r="AW497" s="7">
        <f t="shared" si="162"/>
        <v>28.444444444444443</v>
      </c>
      <c r="AX497" s="7">
        <f t="shared" si="160"/>
        <v>809.0864197530864</v>
      </c>
      <c r="AY497" s="7">
        <f t="shared" si="161"/>
        <v>-0.1966934273789027</v>
      </c>
      <c r="AZ497" s="7">
        <v>256</v>
      </c>
    </row>
    <row r="498" spans="49:52" ht="12.75">
      <c r="AW498" s="7">
        <f t="shared" si="162"/>
        <v>28.5556640625</v>
      </c>
      <c r="AX498" s="7">
        <f t="shared" si="160"/>
        <v>815.425950050354</v>
      </c>
      <c r="AY498" s="7">
        <f t="shared" si="161"/>
        <v>-0.19599519227325404</v>
      </c>
      <c r="AZ498" s="11">
        <f>AZ497+0.5</f>
        <v>256.5</v>
      </c>
    </row>
    <row r="499" spans="49:52" ht="12.75">
      <c r="AW499" s="7">
        <f t="shared" si="162"/>
        <v>28.667100694444446</v>
      </c>
      <c r="AX499" s="7">
        <f t="shared" si="160"/>
        <v>821.8026622254173</v>
      </c>
      <c r="AY499" s="7">
        <f t="shared" si="161"/>
        <v>-0.19530053611225623</v>
      </c>
      <c r="AZ499" s="7">
        <v>257</v>
      </c>
    </row>
    <row r="500" spans="49:52" ht="12.75">
      <c r="AW500" s="7">
        <f t="shared" si="162"/>
        <v>28.778754340277775</v>
      </c>
      <c r="AX500" s="7">
        <f t="shared" si="160"/>
        <v>828.2167013780569</v>
      </c>
      <c r="AY500" s="7">
        <f t="shared" si="161"/>
        <v>-0.19460943551846938</v>
      </c>
      <c r="AZ500" s="11">
        <f>AZ499+0.5</f>
        <v>257.5</v>
      </c>
    </row>
    <row r="501" spans="49:52" ht="12.75">
      <c r="AW501" s="7">
        <f t="shared" si="162"/>
        <v>28.890625</v>
      </c>
      <c r="AX501" s="7">
        <f t="shared" si="160"/>
        <v>834.668212890625</v>
      </c>
      <c r="AY501" s="7">
        <f t="shared" si="161"/>
        <v>-0.19392186729456318</v>
      </c>
      <c r="AZ501" s="7">
        <v>258</v>
      </c>
    </row>
    <row r="502" spans="49:52" ht="12.75">
      <c r="AW502" s="7">
        <f t="shared" si="162"/>
        <v>29.002712673611114</v>
      </c>
      <c r="AX502" s="7">
        <f aca="true" t="shared" si="163" ref="AX502:AX517">_Fn2cc^2</f>
        <v>841.1573424280427</v>
      </c>
      <c r="AY502" s="7">
        <f aca="true" t="shared" si="164" ref="AY502:AY517">10*LOG(_Fn4cc^2/((_Fn4cc-_Cm*_Fn2cc+_Am)^2+_Fn2cc*(_Dm*_Fn2cc-_Bm)^2))</f>
        <v>-0.19323780842177773</v>
      </c>
      <c r="AZ502" s="11">
        <f>AZ501+0.5</f>
        <v>258.5</v>
      </c>
    </row>
    <row r="503" spans="49:52" ht="12.75">
      <c r="AW503" s="7">
        <f aca="true" t="shared" si="165" ref="AW503:AW518">(Fcc/Fs)^2</f>
        <v>29.115017361111107</v>
      </c>
      <c r="AX503" s="7">
        <f t="shared" si="163"/>
        <v>847.6842359378012</v>
      </c>
      <c r="AY503" s="7">
        <f t="shared" si="164"/>
        <v>-0.19255723605840647</v>
      </c>
      <c r="AZ503" s="7">
        <v>259</v>
      </c>
    </row>
    <row r="504" spans="49:52" ht="12.75">
      <c r="AW504" s="7">
        <f t="shared" si="165"/>
        <v>29.2275390625</v>
      </c>
      <c r="AX504" s="7">
        <f t="shared" si="163"/>
        <v>854.2490396499634</v>
      </c>
      <c r="AY504" s="7">
        <f t="shared" si="164"/>
        <v>-0.19188012753829065</v>
      </c>
      <c r="AZ504" s="11">
        <f>AZ503+0.5</f>
        <v>259.5</v>
      </c>
    </row>
    <row r="505" spans="49:52" ht="12.75">
      <c r="AW505" s="7">
        <f t="shared" si="165"/>
        <v>29.340277777777782</v>
      </c>
      <c r="AX505" s="7">
        <f t="shared" si="163"/>
        <v>860.8519000771607</v>
      </c>
      <c r="AY505" s="7">
        <f t="shared" si="164"/>
        <v>-0.1912064603693246</v>
      </c>
      <c r="AZ505" s="7">
        <v>260</v>
      </c>
    </row>
    <row r="506" spans="49:52" ht="12.75">
      <c r="AW506" s="7">
        <f t="shared" si="165"/>
        <v>29.453233506944443</v>
      </c>
      <c r="AX506" s="7">
        <f t="shared" si="163"/>
        <v>867.4929640145948</v>
      </c>
      <c r="AY506" s="7">
        <f t="shared" si="164"/>
        <v>-0.1905362122319794</v>
      </c>
      <c r="AZ506" s="11">
        <f>AZ505+0.5</f>
        <v>260.5</v>
      </c>
    </row>
    <row r="507" spans="49:52" ht="12.75">
      <c r="AW507" s="7">
        <f t="shared" si="165"/>
        <v>29.56640625</v>
      </c>
      <c r="AX507" s="7">
        <f t="shared" si="163"/>
        <v>874.1723785400391</v>
      </c>
      <c r="AY507" s="7">
        <f t="shared" si="164"/>
        <v>-0.18986936097782808</v>
      </c>
      <c r="AZ507" s="7">
        <v>261</v>
      </c>
    </row>
    <row r="508" spans="49:52" ht="12.75">
      <c r="AW508" s="7">
        <f t="shared" si="165"/>
        <v>29.679796006944446</v>
      </c>
      <c r="AX508" s="7">
        <f t="shared" si="163"/>
        <v>880.8902910138355</v>
      </c>
      <c r="AY508" s="7">
        <f t="shared" si="164"/>
        <v>-0.18920588462809942</v>
      </c>
      <c r="AZ508" s="11">
        <f>AZ507+0.5</f>
        <v>261.5</v>
      </c>
    </row>
    <row r="509" spans="49:52" ht="12.75">
      <c r="AW509" s="7">
        <f t="shared" si="165"/>
        <v>29.793402777777775</v>
      </c>
      <c r="AX509" s="7">
        <f t="shared" si="163"/>
        <v>887.6468490788965</v>
      </c>
      <c r="AY509" s="7">
        <f t="shared" si="164"/>
        <v>-0.1885457613722286</v>
      </c>
      <c r="AZ509" s="7">
        <v>262</v>
      </c>
    </row>
    <row r="510" spans="49:52" ht="12.75">
      <c r="AW510" s="7">
        <f t="shared" si="165"/>
        <v>29.9072265625</v>
      </c>
      <c r="AX510" s="7">
        <f t="shared" si="163"/>
        <v>894.4422006607056</v>
      </c>
      <c r="AY510" s="7">
        <f t="shared" si="164"/>
        <v>-0.18788896956643472</v>
      </c>
      <c r="AZ510" s="11">
        <f>AZ509+0.5</f>
        <v>262.5</v>
      </c>
    </row>
    <row r="511" spans="49:52" ht="12.75">
      <c r="AW511" s="7">
        <f t="shared" si="165"/>
        <v>30.021267361111114</v>
      </c>
      <c r="AX511" s="7">
        <f t="shared" si="163"/>
        <v>901.2764939673154</v>
      </c>
      <c r="AY511" s="7">
        <f t="shared" si="164"/>
        <v>-0.18723548773229862</v>
      </c>
      <c r="AZ511" s="7">
        <v>263</v>
      </c>
    </row>
    <row r="512" spans="49:52" ht="12.75">
      <c r="AW512" s="7">
        <f t="shared" si="165"/>
        <v>30.135525173611107</v>
      </c>
      <c r="AX512" s="7">
        <f t="shared" si="163"/>
        <v>908.1498774893488</v>
      </c>
      <c r="AY512" s="7">
        <f t="shared" si="164"/>
        <v>-0.18658529455535922</v>
      </c>
      <c r="AZ512" s="11">
        <f>AZ511+0.5</f>
        <v>263.5</v>
      </c>
    </row>
    <row r="513" spans="49:52" ht="12.75">
      <c r="AW513" s="7">
        <f t="shared" si="165"/>
        <v>30.25</v>
      </c>
      <c r="AX513" s="7">
        <f t="shared" si="163"/>
        <v>915.0625</v>
      </c>
      <c r="AY513" s="7">
        <f t="shared" si="164"/>
        <v>-0.18593836888372448</v>
      </c>
      <c r="AZ513" s="7">
        <v>264</v>
      </c>
    </row>
    <row r="514" spans="49:52" ht="12.75">
      <c r="AW514" s="7">
        <f t="shared" si="165"/>
        <v>30.364691840277782</v>
      </c>
      <c r="AX514" s="7">
        <f t="shared" si="163"/>
        <v>922.0145105550321</v>
      </c>
      <c r="AY514" s="7">
        <f t="shared" si="164"/>
        <v>-0.18529468972668747</v>
      </c>
      <c r="AZ514" s="11">
        <f>AZ513+0.5</f>
        <v>264.5</v>
      </c>
    </row>
    <row r="515" spans="49:52" ht="12.75">
      <c r="AW515" s="7">
        <f t="shared" si="165"/>
        <v>30.479600694444443</v>
      </c>
      <c r="AX515" s="7">
        <f t="shared" si="163"/>
        <v>929.0060584927782</v>
      </c>
      <c r="AY515" s="7">
        <f t="shared" si="164"/>
        <v>-0.18465423625336008</v>
      </c>
      <c r="AZ515" s="7">
        <v>265</v>
      </c>
    </row>
    <row r="516" spans="49:52" ht="12.75">
      <c r="AW516" s="7">
        <f t="shared" si="165"/>
        <v>30.5947265625</v>
      </c>
      <c r="AX516" s="7">
        <f t="shared" si="163"/>
        <v>936.0372934341431</v>
      </c>
      <c r="AY516" s="7">
        <f t="shared" si="164"/>
        <v>-0.18401698779131923</v>
      </c>
      <c r="AZ516" s="11">
        <f>AZ515+0.5</f>
        <v>265.5</v>
      </c>
    </row>
    <row r="517" spans="49:52" ht="12.75">
      <c r="AW517" s="7">
        <f t="shared" si="165"/>
        <v>30.710069444444446</v>
      </c>
      <c r="AX517" s="7">
        <f t="shared" si="163"/>
        <v>943.1083652826004</v>
      </c>
      <c r="AY517" s="7">
        <f t="shared" si="164"/>
        <v>-0.18338292382525584</v>
      </c>
      <c r="AZ517" s="7">
        <v>266</v>
      </c>
    </row>
    <row r="518" spans="49:52" ht="12.75">
      <c r="AW518" s="7">
        <f t="shared" si="165"/>
        <v>30.825629340277775</v>
      </c>
      <c r="AX518" s="7">
        <f aca="true" t="shared" si="166" ref="AX518:AX533">_Fn2cc^2</f>
        <v>950.219424224194</v>
      </c>
      <c r="AY518" s="7">
        <f aca="true" t="shared" si="167" ref="AY518:AY533">10*LOG(_Fn4cc^2/((_Fn4cc-_Cm*_Fn2cc+_Am)^2+_Fn2cc*(_Dm*_Fn2cc-_Bm)^2))</f>
        <v>-0.1827520239956536</v>
      </c>
      <c r="AZ518" s="11">
        <f>AZ517+0.5</f>
        <v>266.5</v>
      </c>
    </row>
    <row r="519" spans="49:52" ht="12.75">
      <c r="AW519" s="7">
        <f aca="true" t="shared" si="168" ref="AW519:AW534">(Fcc/Fs)^2</f>
        <v>30.94140625</v>
      </c>
      <c r="AX519" s="7">
        <f t="shared" si="166"/>
        <v>957.3706207275391</v>
      </c>
      <c r="AY519" s="7">
        <f t="shared" si="167"/>
        <v>-0.1821242680974579</v>
      </c>
      <c r="AZ519" s="7">
        <v>267</v>
      </c>
    </row>
    <row r="520" spans="49:52" ht="12.75">
      <c r="AW520" s="7">
        <f t="shared" si="168"/>
        <v>31.057400173611114</v>
      </c>
      <c r="AX520" s="7">
        <f t="shared" si="166"/>
        <v>964.5621055438197</v>
      </c>
      <c r="AY520" s="7">
        <f t="shared" si="167"/>
        <v>-0.1814996360787732</v>
      </c>
      <c r="AZ520" s="11">
        <f>AZ519+0.5</f>
        <v>267.5</v>
      </c>
    </row>
    <row r="521" spans="49:52" ht="12.75">
      <c r="AW521" s="7">
        <f t="shared" si="168"/>
        <v>31.173611111111107</v>
      </c>
      <c r="AX521" s="7">
        <f t="shared" si="166"/>
        <v>971.7940297067898</v>
      </c>
      <c r="AY521" s="7">
        <f t="shared" si="167"/>
        <v>-0.18087810803956483</v>
      </c>
      <c r="AZ521" s="7">
        <v>268</v>
      </c>
    </row>
    <row r="522" spans="49:52" ht="12.75">
      <c r="AW522" s="7">
        <f t="shared" si="168"/>
        <v>31.2900390625</v>
      </c>
      <c r="AX522" s="7">
        <f t="shared" si="166"/>
        <v>979.0665445327759</v>
      </c>
      <c r="AY522" s="7">
        <f t="shared" si="167"/>
        <v>-0.18025966423036857</v>
      </c>
      <c r="AZ522" s="11">
        <f>AZ521+0.5</f>
        <v>268.5</v>
      </c>
    </row>
    <row r="523" spans="49:52" ht="12.75">
      <c r="AW523" s="7">
        <f t="shared" si="168"/>
        <v>31.406684027777782</v>
      </c>
      <c r="AX523" s="7">
        <f t="shared" si="166"/>
        <v>986.3798016206721</v>
      </c>
      <c r="AY523" s="7">
        <f t="shared" si="167"/>
        <v>-0.17964428505102564</v>
      </c>
      <c r="AZ523" s="7">
        <v>269</v>
      </c>
    </row>
    <row r="524" spans="49:52" ht="12.75">
      <c r="AW524" s="7">
        <f t="shared" si="168"/>
        <v>31.523546006944443</v>
      </c>
      <c r="AX524" s="7">
        <f t="shared" si="166"/>
        <v>993.733952851943</v>
      </c>
      <c r="AY524" s="7">
        <f t="shared" si="167"/>
        <v>-0.17903195104940706</v>
      </c>
      <c r="AZ524" s="11">
        <f>AZ523+0.5</f>
        <v>269.5</v>
      </c>
    </row>
    <row r="525" spans="49:52" ht="12.75">
      <c r="AW525" s="7">
        <f t="shared" si="168"/>
        <v>31.640625</v>
      </c>
      <c r="AX525" s="7">
        <f t="shared" si="166"/>
        <v>1001.129150390625</v>
      </c>
      <c r="AY525" s="7">
        <f t="shared" si="167"/>
        <v>-0.17842264292017618</v>
      </c>
      <c r="AZ525" s="7">
        <v>270</v>
      </c>
    </row>
    <row r="526" spans="49:52" ht="12.75">
      <c r="AW526" s="7">
        <f t="shared" si="168"/>
        <v>31.757921006944446</v>
      </c>
      <c r="AX526" s="7">
        <f t="shared" si="166"/>
        <v>1008.5655466833233</v>
      </c>
      <c r="AY526" s="7">
        <f t="shared" si="167"/>
        <v>-0.17781634150353176</v>
      </c>
      <c r="AZ526" s="11">
        <f>AZ525+0.5</f>
        <v>270.5</v>
      </c>
    </row>
    <row r="527" spans="49:52" ht="12.75">
      <c r="AW527" s="7">
        <f t="shared" si="168"/>
        <v>31.875434027777775</v>
      </c>
      <c r="AX527" s="7">
        <f t="shared" si="166"/>
        <v>1016.0432944592133</v>
      </c>
      <c r="AY527" s="7">
        <f t="shared" si="167"/>
        <v>-0.17721302778399173</v>
      </c>
      <c r="AZ527" s="7">
        <v>271</v>
      </c>
    </row>
    <row r="528" spans="49:52" ht="12.75">
      <c r="AW528" s="7">
        <f t="shared" si="168"/>
        <v>31.9931640625</v>
      </c>
      <c r="AX528" s="7">
        <f t="shared" si="166"/>
        <v>1023.5625467300415</v>
      </c>
      <c r="AY528" s="7">
        <f t="shared" si="167"/>
        <v>-0.1766126828891661</v>
      </c>
      <c r="AZ528" s="11">
        <f>AZ527+0.5</f>
        <v>271.5</v>
      </c>
    </row>
    <row r="529" spans="49:52" ht="12.75">
      <c r="AW529" s="7">
        <f t="shared" si="168"/>
        <v>32.111111111111114</v>
      </c>
      <c r="AX529" s="7">
        <f t="shared" si="166"/>
        <v>1031.1234567901236</v>
      </c>
      <c r="AY529" s="7">
        <f t="shared" si="167"/>
        <v>-0.17601528808855138</v>
      </c>
      <c r="AZ529" s="7">
        <v>272</v>
      </c>
    </row>
    <row r="530" spans="49:52" ht="12.75">
      <c r="AW530" s="7">
        <f t="shared" si="168"/>
        <v>32.22927517361111</v>
      </c>
      <c r="AX530" s="7">
        <f t="shared" si="166"/>
        <v>1038.7261782163453</v>
      </c>
      <c r="AY530" s="7">
        <f t="shared" si="167"/>
        <v>-0.17542082479233206</v>
      </c>
      <c r="AZ530" s="11">
        <f>AZ529+0.5</f>
        <v>272.5</v>
      </c>
    </row>
    <row r="531" spans="49:52" ht="12.75">
      <c r="AW531" s="7">
        <f t="shared" si="168"/>
        <v>32.34765625</v>
      </c>
      <c r="AX531" s="7">
        <f t="shared" si="166"/>
        <v>1046.370864868164</v>
      </c>
      <c r="AY531" s="7">
        <f t="shared" si="167"/>
        <v>-0.17482927455019742</v>
      </c>
      <c r="AZ531" s="7">
        <v>273</v>
      </c>
    </row>
    <row r="532" spans="49:52" ht="12.75">
      <c r="AW532" s="7">
        <f t="shared" si="168"/>
        <v>32.46625434027778</v>
      </c>
      <c r="AX532" s="7">
        <f t="shared" si="166"/>
        <v>1054.0576708876056</v>
      </c>
      <c r="AY532" s="7">
        <f t="shared" si="167"/>
        <v>-0.17424061905015764</v>
      </c>
      <c r="AZ532" s="11">
        <f>AZ531+0.5</f>
        <v>273.5</v>
      </c>
    </row>
    <row r="533" spans="49:52" ht="12.75">
      <c r="AW533" s="7">
        <f t="shared" si="168"/>
        <v>32.58506944444444</v>
      </c>
      <c r="AX533" s="7">
        <f t="shared" si="166"/>
        <v>1061.7867506992668</v>
      </c>
      <c r="AY533" s="7">
        <f t="shared" si="167"/>
        <v>-0.17365484011738602</v>
      </c>
      <c r="AZ533" s="7">
        <v>274</v>
      </c>
    </row>
    <row r="534" spans="49:52" ht="12.75">
      <c r="AW534" s="7">
        <f t="shared" si="168"/>
        <v>32.7041015625</v>
      </c>
      <c r="AX534" s="7">
        <f aca="true" t="shared" si="169" ref="AX534:AX549">_Fn2cc^2</f>
        <v>1069.558259010315</v>
      </c>
      <c r="AY534" s="7">
        <f aca="true" t="shared" si="170" ref="AY534:AY549">10*LOG(_Fn4cc^2/((_Fn4cc-_Cm*_Fn2cc+_Am)^2+_Fn2cc*(_Dm*_Fn2cc-_Bm)^2))</f>
        <v>-0.1730719197130577</v>
      </c>
      <c r="AZ534" s="11">
        <f>AZ533+0.5</f>
        <v>274.5</v>
      </c>
    </row>
    <row r="535" spans="49:52" ht="12.75">
      <c r="AW535" s="7">
        <f aca="true" t="shared" si="171" ref="AW535:AW550">(Fcc/Fs)^2</f>
        <v>32.82335069444445</v>
      </c>
      <c r="AX535" s="7">
        <f t="shared" si="169"/>
        <v>1077.372350810487</v>
      </c>
      <c r="AY535" s="7">
        <f t="shared" si="170"/>
        <v>-0.1724918399332076</v>
      </c>
      <c r="AZ535" s="7">
        <v>275</v>
      </c>
    </row>
    <row r="536" spans="49:52" ht="12.75">
      <c r="AW536" s="7">
        <f t="shared" si="171"/>
        <v>32.94281684027777</v>
      </c>
      <c r="AX536" s="7">
        <f t="shared" si="169"/>
        <v>1085.2291813720888</v>
      </c>
      <c r="AY536" s="7">
        <f t="shared" si="170"/>
        <v>-0.17191458300759627</v>
      </c>
      <c r="AZ536" s="11">
        <f>AZ535+0.5</f>
        <v>275.5</v>
      </c>
    </row>
    <row r="537" spans="49:52" ht="12.75">
      <c r="AW537" s="7">
        <f t="shared" si="171"/>
        <v>33.0625</v>
      </c>
      <c r="AX537" s="7">
        <f t="shared" si="169"/>
        <v>1093.12890625</v>
      </c>
      <c r="AY537" s="7">
        <f t="shared" si="170"/>
        <v>-0.17134013129857864</v>
      </c>
      <c r="AZ537" s="7">
        <v>276</v>
      </c>
    </row>
    <row r="538" spans="49:52" ht="12.75">
      <c r="AW538" s="7">
        <f t="shared" si="171"/>
        <v>33.182400173611114</v>
      </c>
      <c r="AX538" s="7">
        <f t="shared" si="169"/>
        <v>1101.071681281667</v>
      </c>
      <c r="AY538" s="7">
        <f t="shared" si="170"/>
        <v>-0.17076846729999814</v>
      </c>
      <c r="AZ538" s="11">
        <f>AZ537+0.5</f>
        <v>276.5</v>
      </c>
    </row>
    <row r="539" spans="49:52" ht="12.75">
      <c r="AW539" s="7">
        <f t="shared" si="171"/>
        <v>33.30251736111111</v>
      </c>
      <c r="AX539" s="7">
        <f t="shared" si="169"/>
        <v>1109.0576625871067</v>
      </c>
      <c r="AY539" s="7">
        <f t="shared" si="170"/>
        <v>-0.1701995736360751</v>
      </c>
      <c r="AZ539" s="7">
        <v>277</v>
      </c>
    </row>
    <row r="540" spans="49:52" ht="12.75">
      <c r="AW540" s="7">
        <f t="shared" si="171"/>
        <v>33.4228515625</v>
      </c>
      <c r="AX540" s="7">
        <f t="shared" si="169"/>
        <v>1117.0870065689087</v>
      </c>
      <c r="AY540" s="7">
        <f t="shared" si="170"/>
        <v>-0.1696334330603137</v>
      </c>
      <c r="AZ540" s="11">
        <f>AZ539+0.5</f>
        <v>277.5</v>
      </c>
    </row>
    <row r="541" spans="49:52" ht="12.75">
      <c r="AW541" s="7">
        <f t="shared" si="171"/>
        <v>33.54340277777778</v>
      </c>
      <c r="AX541" s="7">
        <f t="shared" si="169"/>
        <v>1125.15986991223</v>
      </c>
      <c r="AY541" s="7">
        <f t="shared" si="170"/>
        <v>-0.16907002845441976</v>
      </c>
      <c r="AZ541" s="7">
        <v>278</v>
      </c>
    </row>
    <row r="542" spans="49:52" ht="12.75">
      <c r="AW542" s="7">
        <f t="shared" si="171"/>
        <v>33.66417100694444</v>
      </c>
      <c r="AX542" s="7">
        <f t="shared" si="169"/>
        <v>1133.2764095847988</v>
      </c>
      <c r="AY542" s="7">
        <f t="shared" si="170"/>
        <v>-0.16850934282721608</v>
      </c>
      <c r="AZ542" s="11">
        <f>AZ541+0.5</f>
        <v>278.5</v>
      </c>
    </row>
    <row r="543" spans="49:52" ht="12.75">
      <c r="AW543" s="7">
        <f t="shared" si="171"/>
        <v>33.78515625</v>
      </c>
      <c r="AX543" s="7">
        <f t="shared" si="169"/>
        <v>1141.436782836914</v>
      </c>
      <c r="AY543" s="7">
        <f t="shared" si="170"/>
        <v>-0.16795135931358696</v>
      </c>
      <c r="AZ543" s="7">
        <v>279</v>
      </c>
    </row>
    <row r="544" spans="49:52" ht="12.75">
      <c r="AW544" s="7">
        <f t="shared" si="171"/>
        <v>33.90635850694445</v>
      </c>
      <c r="AX544" s="7">
        <f t="shared" si="169"/>
        <v>1149.6411472014443</v>
      </c>
      <c r="AY544" s="7">
        <f t="shared" si="170"/>
        <v>-0.16739606117341793</v>
      </c>
      <c r="AZ544" s="11">
        <f>AZ543+0.5</f>
        <v>279.5</v>
      </c>
    </row>
    <row r="545" spans="49:52" ht="12.75">
      <c r="AW545" s="7">
        <f t="shared" si="171"/>
        <v>34.02777777777777</v>
      </c>
      <c r="AX545" s="7">
        <f t="shared" si="169"/>
        <v>1157.8896604938268</v>
      </c>
      <c r="AY545" s="7">
        <f t="shared" si="170"/>
        <v>-0.16684343179054278</v>
      </c>
      <c r="AZ545" s="7">
        <v>280</v>
      </c>
    </row>
    <row r="546" spans="49:52" ht="12.75">
      <c r="AW546" s="7">
        <f t="shared" si="171"/>
        <v>34.1494140625</v>
      </c>
      <c r="AX546" s="7">
        <f t="shared" si="169"/>
        <v>1166.1824808120728</v>
      </c>
      <c r="AY546" s="7">
        <f t="shared" si="170"/>
        <v>-0.1662934546717196</v>
      </c>
      <c r="AZ546" s="11">
        <f>AZ545+0.5</f>
        <v>280.5</v>
      </c>
    </row>
    <row r="547" spans="49:52" ht="12.75">
      <c r="AW547" s="7">
        <f t="shared" si="171"/>
        <v>34.271267361111114</v>
      </c>
      <c r="AX547" s="7">
        <f t="shared" si="169"/>
        <v>1174.51976653676</v>
      </c>
      <c r="AY547" s="7">
        <f t="shared" si="170"/>
        <v>-0.16574611344558413</v>
      </c>
      <c r="AZ547" s="7">
        <v>281</v>
      </c>
    </row>
    <row r="548" spans="49:52" ht="12.75">
      <c r="AW548" s="7">
        <f t="shared" si="171"/>
        <v>34.39333767361111</v>
      </c>
      <c r="AX548" s="7">
        <f t="shared" si="169"/>
        <v>1182.9016763310372</v>
      </c>
      <c r="AY548" s="7">
        <f t="shared" si="170"/>
        <v>-0.16520139186164567</v>
      </c>
      <c r="AZ548" s="11">
        <f>AZ547+0.5</f>
        <v>281.5</v>
      </c>
    </row>
    <row r="549" spans="49:52" ht="12.75">
      <c r="AW549" s="7">
        <f t="shared" si="171"/>
        <v>34.515625</v>
      </c>
      <c r="AX549" s="7">
        <f t="shared" si="169"/>
        <v>1191.328369140625</v>
      </c>
      <c r="AY549" s="7">
        <f t="shared" si="170"/>
        <v>-0.1646592737892744</v>
      </c>
      <c r="AZ549" s="7">
        <v>282</v>
      </c>
    </row>
    <row r="550" spans="49:52" ht="12.75">
      <c r="AW550" s="7">
        <f t="shared" si="171"/>
        <v>34.63812934027778</v>
      </c>
      <c r="AX550" s="7">
        <f aca="true" t="shared" si="172" ref="AX550:AX565">_Fn2cc^2</f>
        <v>1199.8000041938124</v>
      </c>
      <c r="AY550" s="7">
        <f aca="true" t="shared" si="173" ref="AY550:AY565">10*LOG(_Fn4cc^2/((_Fn4cc-_Cm*_Fn2cc+_Am)^2+_Fn2cc*(_Dm*_Fn2cc-_Bm)^2))</f>
        <v>-0.164119743216686</v>
      </c>
      <c r="AZ550" s="11">
        <f>AZ549+0.5</f>
        <v>282.5</v>
      </c>
    </row>
    <row r="551" spans="49:52" ht="12.75">
      <c r="AW551" s="7">
        <f aca="true" t="shared" si="174" ref="AW551:AW566">(Fcc/Fs)^2</f>
        <v>34.76085069444444</v>
      </c>
      <c r="AX551" s="7">
        <f t="shared" si="172"/>
        <v>1208.3167410014587</v>
      </c>
      <c r="AY551" s="7">
        <f t="shared" si="173"/>
        <v>-0.16358278424997538</v>
      </c>
      <c r="AZ551" s="7">
        <v>283</v>
      </c>
    </row>
    <row r="552" spans="49:52" ht="12.75">
      <c r="AW552" s="7">
        <f t="shared" si="174"/>
        <v>34.8837890625</v>
      </c>
      <c r="AX552" s="7">
        <f t="shared" si="172"/>
        <v>1216.8787393569946</v>
      </c>
      <c r="AY552" s="7">
        <f t="shared" si="173"/>
        <v>-0.16304838111210918</v>
      </c>
      <c r="AZ552" s="11">
        <f>AZ551+0.5</f>
        <v>283.5</v>
      </c>
    </row>
    <row r="553" spans="49:52" ht="12.75">
      <c r="AW553" s="7">
        <f t="shared" si="174"/>
        <v>35.00694444444445</v>
      </c>
      <c r="AX553" s="7">
        <f t="shared" si="172"/>
        <v>1225.48615933642</v>
      </c>
      <c r="AY553" s="7">
        <f t="shared" si="173"/>
        <v>-0.1625165181419624</v>
      </c>
      <c r="AZ553" s="7">
        <v>284</v>
      </c>
    </row>
    <row r="554" spans="49:52" ht="12.75">
      <c r="AW554" s="7">
        <f t="shared" si="174"/>
        <v>35.13031684027777</v>
      </c>
      <c r="AX554" s="7">
        <f t="shared" si="172"/>
        <v>1234.139161298304</v>
      </c>
      <c r="AY554" s="7">
        <f t="shared" si="173"/>
        <v>-0.16198717979335325</v>
      </c>
      <c r="AZ554" s="11">
        <f>AZ553+0.5</f>
        <v>284.5</v>
      </c>
    </row>
    <row r="555" spans="49:52" ht="12.75">
      <c r="AW555" s="7">
        <f t="shared" si="174"/>
        <v>35.25390625</v>
      </c>
      <c r="AX555" s="7">
        <f t="shared" si="172"/>
        <v>1242.837905883789</v>
      </c>
      <c r="AY555" s="7">
        <f t="shared" si="173"/>
        <v>-0.16146035063408481</v>
      </c>
      <c r="AZ555" s="7">
        <v>285</v>
      </c>
    </row>
    <row r="556" spans="49:52" ht="12.75">
      <c r="AW556" s="7">
        <f t="shared" si="174"/>
        <v>35.377712673611114</v>
      </c>
      <c r="AX556" s="7">
        <f t="shared" si="172"/>
        <v>1251.5825540165845</v>
      </c>
      <c r="AY556" s="7">
        <f t="shared" si="173"/>
        <v>-0.16093601534499177</v>
      </c>
      <c r="AZ556" s="11">
        <f>AZ555+0.5</f>
        <v>285.5</v>
      </c>
    </row>
    <row r="557" spans="49:52" ht="12.75">
      <c r="AW557" s="7">
        <f t="shared" si="174"/>
        <v>35.50173611111111</v>
      </c>
      <c r="AX557" s="7">
        <f t="shared" si="172"/>
        <v>1260.3732669029705</v>
      </c>
      <c r="AY557" s="7">
        <f t="shared" si="173"/>
        <v>-0.16041415871900913</v>
      </c>
      <c r="AZ557" s="7">
        <v>286</v>
      </c>
    </row>
    <row r="558" spans="49:52" ht="12.75">
      <c r="AW558" s="7">
        <f t="shared" si="174"/>
        <v>35.6259765625</v>
      </c>
      <c r="AX558" s="7">
        <f t="shared" si="172"/>
        <v>1269.2102060317993</v>
      </c>
      <c r="AY558" s="7">
        <f t="shared" si="173"/>
        <v>-0.1598947656602328</v>
      </c>
      <c r="AZ558" s="11">
        <f>AZ557+0.5</f>
        <v>286.5</v>
      </c>
    </row>
    <row r="559" spans="49:52" ht="12.75">
      <c r="AW559" s="7">
        <f t="shared" si="174"/>
        <v>35.75043402777778</v>
      </c>
      <c r="AX559" s="7">
        <f t="shared" si="172"/>
        <v>1278.0935331744913</v>
      </c>
      <c r="AY559" s="7">
        <f t="shared" si="173"/>
        <v>-0.15937782118300006</v>
      </c>
      <c r="AZ559" s="7">
        <v>287</v>
      </c>
    </row>
    <row r="560" spans="49:52" ht="12.75">
      <c r="AW560" s="7">
        <f t="shared" si="174"/>
        <v>35.87510850694444</v>
      </c>
      <c r="AX560" s="7">
        <f t="shared" si="172"/>
        <v>1287.0234103850376</v>
      </c>
      <c r="AY560" s="7">
        <f t="shared" si="173"/>
        <v>-0.15886331041097645</v>
      </c>
      <c r="AZ560" s="11">
        <f>AZ559+0.5</f>
        <v>287.5</v>
      </c>
    </row>
    <row r="561" spans="49:52" ht="12.75">
      <c r="AW561" s="7">
        <f t="shared" si="174"/>
        <v>36</v>
      </c>
      <c r="AX561" s="7">
        <f t="shared" si="172"/>
        <v>1296</v>
      </c>
      <c r="AY561" s="7">
        <f t="shared" si="173"/>
        <v>-0.15835121857624246</v>
      </c>
      <c r="AZ561" s="7">
        <v>288</v>
      </c>
    </row>
    <row r="562" spans="49:52" ht="12.75">
      <c r="AW562" s="7">
        <f t="shared" si="174"/>
        <v>36.12510850694445</v>
      </c>
      <c r="AX562" s="7">
        <f t="shared" si="172"/>
        <v>1305.0234646385102</v>
      </c>
      <c r="AY562" s="7">
        <f t="shared" si="173"/>
        <v>-0.15784153101839837</v>
      </c>
      <c r="AZ562" s="11">
        <f>AZ561+0.5</f>
        <v>288.5</v>
      </c>
    </row>
    <row r="563" spans="49:52" ht="12.75">
      <c r="AW563" s="7">
        <f t="shared" si="174"/>
        <v>36.25043402777777</v>
      </c>
      <c r="AX563" s="7">
        <f t="shared" si="172"/>
        <v>1314.0939672022685</v>
      </c>
      <c r="AY563" s="7">
        <f t="shared" si="173"/>
        <v>-0.15733423318367887</v>
      </c>
      <c r="AZ563" s="7">
        <v>289</v>
      </c>
    </row>
    <row r="564" spans="49:52" ht="12.75">
      <c r="AW564" s="7">
        <f t="shared" si="174"/>
        <v>36.3759765625</v>
      </c>
      <c r="AX564" s="7">
        <f t="shared" si="172"/>
        <v>1323.2116708755493</v>
      </c>
      <c r="AY564" s="7">
        <f t="shared" si="173"/>
        <v>-0.15682931062406164</v>
      </c>
      <c r="AZ564" s="11">
        <f>AZ563+0.5</f>
        <v>289.5</v>
      </c>
    </row>
    <row r="565" spans="49:52" ht="12.75">
      <c r="AW565" s="7">
        <f t="shared" si="174"/>
        <v>36.501736111111114</v>
      </c>
      <c r="AX565" s="7">
        <f t="shared" si="172"/>
        <v>1332.3767391251931</v>
      </c>
      <c r="AY565" s="7">
        <f t="shared" si="173"/>
        <v>-0.15632674899639434</v>
      </c>
      <c r="AZ565" s="7">
        <v>290</v>
      </c>
    </row>
    <row r="566" spans="49:52" ht="12.75">
      <c r="AW566" s="7">
        <f t="shared" si="174"/>
        <v>36.62771267361111</v>
      </c>
      <c r="AX566" s="7">
        <f aca="true" t="shared" si="175" ref="AX566:AX581">_Fn2cc^2</f>
        <v>1341.5893357006116</v>
      </c>
      <c r="AY566" s="7">
        <f aca="true" t="shared" si="176" ref="AY566:AY581">10*LOG(_Fn4cc^2/((_Fn4cc-_Cm*_Fn2cc+_Am)^2+_Fn2cc*(_Dm*_Fn2cc-_Bm)^2))</f>
        <v>-0.15582653406153804</v>
      </c>
      <c r="AZ566" s="11">
        <f>AZ565+0.5</f>
        <v>290.5</v>
      </c>
    </row>
    <row r="567" spans="49:52" ht="12.75">
      <c r="AW567" s="7">
        <f aca="true" t="shared" si="177" ref="AW567:AW582">(Fcc/Fs)^2</f>
        <v>36.75390625</v>
      </c>
      <c r="AX567" s="7">
        <f t="shared" si="175"/>
        <v>1350.849624633789</v>
      </c>
      <c r="AY567" s="7">
        <f t="shared" si="176"/>
        <v>-0.15532865168348922</v>
      </c>
      <c r="AZ567" s="7">
        <v>291</v>
      </c>
    </row>
    <row r="568" spans="49:52" ht="12.75">
      <c r="AW568" s="7">
        <f t="shared" si="177"/>
        <v>36.88031684027778</v>
      </c>
      <c r="AX568" s="7">
        <f t="shared" si="175"/>
        <v>1360.1577702392767</v>
      </c>
      <c r="AY568" s="7">
        <f t="shared" si="176"/>
        <v>-0.15483308782854846</v>
      </c>
      <c r="AZ568" s="11">
        <f>AZ567+0.5</f>
        <v>291.5</v>
      </c>
    </row>
    <row r="569" spans="49:52" ht="12.75">
      <c r="AW569" s="7">
        <f t="shared" si="177"/>
        <v>37.00694444444444</v>
      </c>
      <c r="AX569" s="7">
        <f t="shared" si="175"/>
        <v>1369.5139371141975</v>
      </c>
      <c r="AY569" s="7">
        <f t="shared" si="176"/>
        <v>-0.15433982856445805</v>
      </c>
      <c r="AZ569" s="7">
        <v>292</v>
      </c>
    </row>
    <row r="570" spans="49:52" ht="12.75">
      <c r="AW570" s="7">
        <f t="shared" si="177"/>
        <v>37.1337890625</v>
      </c>
      <c r="AX570" s="7">
        <f t="shared" si="175"/>
        <v>1378.9182901382446</v>
      </c>
      <c r="AY570" s="7">
        <f t="shared" si="176"/>
        <v>-0.15384886005958104</v>
      </c>
      <c r="AZ570" s="11">
        <f>AZ569+0.5</f>
        <v>292.5</v>
      </c>
    </row>
    <row r="571" spans="49:52" ht="12.75">
      <c r="AW571" s="7">
        <f t="shared" si="177"/>
        <v>37.26085069444445</v>
      </c>
      <c r="AX571" s="7">
        <f t="shared" si="175"/>
        <v>1388.3709944736815</v>
      </c>
      <c r="AY571" s="7">
        <f t="shared" si="176"/>
        <v>-0.15336016858206156</v>
      </c>
      <c r="AZ571" s="7">
        <v>293</v>
      </c>
    </row>
    <row r="572" spans="49:52" ht="12.75">
      <c r="AW572" s="7">
        <f t="shared" si="177"/>
        <v>37.38812934027777</v>
      </c>
      <c r="AX572" s="7">
        <f t="shared" si="175"/>
        <v>1397.8722155653395</v>
      </c>
      <c r="AY572" s="7">
        <f t="shared" si="176"/>
        <v>-0.15287374049901023</v>
      </c>
      <c r="AZ572" s="11">
        <f>AZ571+0.5</f>
        <v>293.5</v>
      </c>
    </row>
    <row r="573" spans="49:52" ht="12.75">
      <c r="AW573" s="7">
        <f t="shared" si="177"/>
        <v>37.515625</v>
      </c>
      <c r="AX573" s="7">
        <f t="shared" si="175"/>
        <v>1407.422119140625</v>
      </c>
      <c r="AY573" s="7">
        <f t="shared" si="176"/>
        <v>-0.1523895622756863</v>
      </c>
      <c r="AZ573" s="7">
        <v>294</v>
      </c>
    </row>
    <row r="574" spans="49:52" ht="12.75">
      <c r="AW574" s="7">
        <f t="shared" si="177"/>
        <v>37.643337673611114</v>
      </c>
      <c r="AX574" s="7">
        <f t="shared" si="175"/>
        <v>1417.0208712095098</v>
      </c>
      <c r="AY574" s="7">
        <f t="shared" si="176"/>
        <v>-0.15190762047469297</v>
      </c>
      <c r="AZ574" s="11">
        <f>AZ573+0.5</f>
        <v>294.5</v>
      </c>
    </row>
    <row r="575" spans="49:52" ht="12.75">
      <c r="AW575" s="7">
        <f t="shared" si="177"/>
        <v>37.77126736111111</v>
      </c>
      <c r="AX575" s="7">
        <f t="shared" si="175"/>
        <v>1426.6686380645372</v>
      </c>
      <c r="AY575" s="7">
        <f t="shared" si="176"/>
        <v>-0.15142790175517623</v>
      </c>
      <c r="AZ575" s="7">
        <v>295</v>
      </c>
    </row>
    <row r="576" spans="49:52" ht="12.75">
      <c r="AW576" s="7">
        <f t="shared" si="177"/>
        <v>37.8994140625</v>
      </c>
      <c r="AX576" s="7">
        <f t="shared" si="175"/>
        <v>1436.3655862808228</v>
      </c>
      <c r="AY576" s="7">
        <f t="shared" si="176"/>
        <v>-0.15095039287202963</v>
      </c>
      <c r="AZ576" s="11">
        <f>AZ575+0.5</f>
        <v>295.5</v>
      </c>
    </row>
    <row r="577" spans="49:52" ht="12.75">
      <c r="AW577" s="7">
        <f t="shared" si="177"/>
        <v>38.02777777777778</v>
      </c>
      <c r="AX577" s="7">
        <f t="shared" si="175"/>
        <v>1446.1118827160494</v>
      </c>
      <c r="AY577" s="7">
        <f t="shared" si="176"/>
        <v>-0.15047508067511908</v>
      </c>
      <c r="AZ577" s="7">
        <v>296</v>
      </c>
    </row>
    <row r="578" spans="49:52" ht="12.75">
      <c r="AW578" s="7">
        <f t="shared" si="177"/>
        <v>38.15635850694444</v>
      </c>
      <c r="AX578" s="7">
        <f t="shared" si="175"/>
        <v>1455.9076945104716</v>
      </c>
      <c r="AY578" s="7">
        <f t="shared" si="176"/>
        <v>-0.15000195210849537</v>
      </c>
      <c r="AZ578" s="11">
        <f>AZ577+0.5</f>
        <v>296.5</v>
      </c>
    </row>
    <row r="579" spans="49:52" ht="12.75">
      <c r="AW579" s="7">
        <f t="shared" si="177"/>
        <v>38.28515625</v>
      </c>
      <c r="AX579" s="7">
        <f t="shared" si="175"/>
        <v>1465.753189086914</v>
      </c>
      <c r="AY579" s="7">
        <f t="shared" si="176"/>
        <v>-0.14953099420962074</v>
      </c>
      <c r="AZ579" s="7">
        <v>297</v>
      </c>
    </row>
    <row r="580" spans="49:52" ht="12.75">
      <c r="AW580" s="7">
        <f t="shared" si="177"/>
        <v>38.41417100694445</v>
      </c>
      <c r="AX580" s="7">
        <f t="shared" si="175"/>
        <v>1475.6485341507716</v>
      </c>
      <c r="AY580" s="7">
        <f t="shared" si="176"/>
        <v>-0.14906219410861113</v>
      </c>
      <c r="AZ580" s="11">
        <f>AZ579+0.5</f>
        <v>297.5</v>
      </c>
    </row>
    <row r="581" spans="49:52" ht="12.75">
      <c r="AW581" s="7">
        <f t="shared" si="177"/>
        <v>38.54340277777777</v>
      </c>
      <c r="AX581" s="7">
        <f t="shared" si="175"/>
        <v>1485.5938976900072</v>
      </c>
      <c r="AY581" s="7">
        <f t="shared" si="176"/>
        <v>-0.14859553902748102</v>
      </c>
      <c r="AZ581" s="7">
        <v>298</v>
      </c>
    </row>
    <row r="582" spans="49:52" ht="12.75">
      <c r="AW582" s="7">
        <f t="shared" si="177"/>
        <v>38.6728515625</v>
      </c>
      <c r="AX582" s="7">
        <f>_Fn2cc^2</f>
        <v>1495.5894479751587</v>
      </c>
      <c r="AY582" s="7">
        <f>10*LOG(_Fn4cc^2/((_Fn4cc-_Cm*_Fn2cc+_Am)^2+_Fn2cc*(_Dm*_Fn2cc-_Bm)^2))</f>
        <v>-0.1481310162793811</v>
      </c>
      <c r="AZ582" s="11">
        <f>AZ581+0.5</f>
        <v>298.5</v>
      </c>
    </row>
    <row r="583" spans="49:52" ht="12.75">
      <c r="AW583" s="7">
        <f>(Fcc/Fs)^2</f>
        <v>38.802517361111114</v>
      </c>
      <c r="AX583" s="7">
        <f>_Fn2cc^2</f>
        <v>1505.6353535593294</v>
      </c>
      <c r="AY583" s="7">
        <f>10*LOG(_Fn4cc^2/((_Fn4cc-_Cm*_Fn2cc+_Am)^2+_Fn2cc*(_Dm*_Fn2cc-_Bm)^2))</f>
        <v>-0.14766861326786315</v>
      </c>
      <c r="AZ583" s="7">
        <v>299</v>
      </c>
    </row>
    <row r="584" spans="49:52" ht="12.75">
      <c r="AW584" s="7">
        <f>(Fcc/Fs)^2</f>
        <v>38.93240017361111</v>
      </c>
      <c r="AX584" s="7">
        <f>_Fn2cc^2</f>
        <v>1515.7317832781941</v>
      </c>
      <c r="AY584" s="7">
        <f>10*LOG(_Fn4cc^2/((_Fn4cc-_Cm*_Fn2cc+_Am)^2+_Fn2cc*(_Dm*_Fn2cc-_Bm)^2))</f>
        <v>-0.14720831748614083</v>
      </c>
      <c r="AZ584" s="11">
        <f>AZ583+0.5</f>
        <v>299.5</v>
      </c>
    </row>
    <row r="585" spans="49:52" ht="12.75">
      <c r="AW585" s="7">
        <f>(Fcc/Fs)^2</f>
        <v>39.0625</v>
      </c>
      <c r="AX585" s="7">
        <f>_Fn2cc^2</f>
        <v>1525.87890625</v>
      </c>
      <c r="AY585" s="7">
        <f>10*LOG(_Fn4cc^2/((_Fn4cc-_Cm*_Fn2cc+_Am)^2+_Fn2cc*(_Dm*_Fn2cc-_Bm)^2))</f>
        <v>-0.14675011651635655</v>
      </c>
      <c r="AZ585" s="7">
        <v>300</v>
      </c>
    </row>
    <row r="587" ht="12.75">
      <c r="AZ587" s="7"/>
    </row>
    <row r="589" ht="12.75">
      <c r="AZ589" s="7"/>
    </row>
    <row r="591" ht="12.75">
      <c r="AZ591" s="7"/>
    </row>
    <row r="593" ht="12.75">
      <c r="AZ593" s="7"/>
    </row>
    <row r="595" ht="12.75">
      <c r="AZ595" s="7"/>
    </row>
    <row r="597" ht="12.75">
      <c r="AZ597" s="7"/>
    </row>
    <row r="599" ht="12.75">
      <c r="AZ599" s="7"/>
    </row>
    <row r="601" ht="12.75">
      <c r="AZ601" s="7"/>
    </row>
    <row r="603" ht="12.75">
      <c r="AZ603" s="7"/>
    </row>
    <row r="605" ht="12.75">
      <c r="AZ605" s="7"/>
    </row>
    <row r="607" ht="12.75">
      <c r="AZ607" s="7"/>
    </row>
    <row r="609" ht="12.75">
      <c r="AZ609" s="7"/>
    </row>
    <row r="611" ht="12.75">
      <c r="AZ611" s="7"/>
    </row>
    <row r="613" ht="12.75">
      <c r="AZ613" s="7"/>
    </row>
    <row r="615" ht="12.75">
      <c r="AZ615" s="7"/>
    </row>
    <row r="617" ht="12.75">
      <c r="AZ617" s="7"/>
    </row>
    <row r="619" ht="12.75">
      <c r="AZ619" s="7"/>
    </row>
    <row r="621" ht="12.75">
      <c r="AZ621" s="7"/>
    </row>
    <row r="623" ht="12.75">
      <c r="AZ623" s="7"/>
    </row>
    <row r="625" ht="12.75">
      <c r="AZ625" s="7"/>
    </row>
    <row r="627" ht="12.75">
      <c r="AZ627" s="7"/>
    </row>
    <row r="629" ht="12.75">
      <c r="AZ629" s="7"/>
    </row>
    <row r="631" ht="12.75">
      <c r="AZ631" s="7"/>
    </row>
    <row r="633" ht="12.75">
      <c r="AZ633" s="7"/>
    </row>
    <row r="635" ht="12.75">
      <c r="AZ635" s="7"/>
    </row>
    <row r="637" ht="12.75">
      <c r="AZ637" s="7"/>
    </row>
    <row r="639" ht="12.75">
      <c r="AZ639" s="7"/>
    </row>
    <row r="641" ht="12.75">
      <c r="AZ641" s="7"/>
    </row>
    <row r="643" ht="12.75">
      <c r="AZ643" s="7"/>
    </row>
    <row r="645" ht="12.75">
      <c r="AZ645" s="7"/>
    </row>
    <row r="647" ht="12.75">
      <c r="AZ647" s="7"/>
    </row>
    <row r="649" ht="12.75">
      <c r="AZ649" s="7"/>
    </row>
    <row r="651" ht="12.75">
      <c r="AZ651" s="7"/>
    </row>
    <row r="653" ht="12.75">
      <c r="AZ653" s="7"/>
    </row>
    <row r="655" ht="12.75">
      <c r="AZ655" s="7"/>
    </row>
    <row r="657" ht="12.75">
      <c r="AZ657" s="7"/>
    </row>
    <row r="659" ht="12.75">
      <c r="AZ659" s="7"/>
    </row>
  </sheetData>
  <sheetProtection sheet="1" objects="1" scenarios="1"/>
  <printOptions/>
  <pageMargins left="0.7480314960629921" right="0.7480314960629921" top="0.984251968503937" bottom="0.984251968503937" header="0.5118110236220472" footer="0.5118110236220472"/>
  <pageSetup fitToHeight="1" fitToWidth="1" horizontalDpi="300" verticalDpi="300" orientation="portrait" paperSize="9" scale="85" r:id="rId3"/>
  <headerFooter alignWithMargins="0">
    <oddHeader>&amp;CSpeaker Box Designer</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A47"/>
  <sheetViews>
    <sheetView showGridLines="0" workbookViewId="0" topLeftCell="A1">
      <selection activeCell="A1" sqref="A1"/>
    </sheetView>
  </sheetViews>
  <sheetFormatPr defaultColWidth="9.140625" defaultRowHeight="12.75"/>
  <cols>
    <col min="1" max="1" width="67.28125" style="4" customWidth="1"/>
    <col min="2" max="16384" width="9.140625" style="4" customWidth="1"/>
  </cols>
  <sheetData>
    <row r="1" ht="12.75">
      <c r="A1" s="5" t="s">
        <v>114</v>
      </c>
    </row>
    <row r="2" ht="12.75">
      <c r="A2" s="6" t="s">
        <v>115</v>
      </c>
    </row>
    <row r="3" ht="25.5">
      <c r="A3" s="6" t="s">
        <v>116</v>
      </c>
    </row>
    <row r="4" ht="25.5">
      <c r="A4" s="6" t="s">
        <v>117</v>
      </c>
    </row>
    <row r="5" ht="12.75">
      <c r="A5" s="6"/>
    </row>
    <row r="7" ht="12.75">
      <c r="A7" s="5" t="s">
        <v>118</v>
      </c>
    </row>
    <row r="8" ht="12.75">
      <c r="A8" s="6" t="s">
        <v>119</v>
      </c>
    </row>
    <row r="9" ht="25.5">
      <c r="A9" s="6" t="s">
        <v>120</v>
      </c>
    </row>
    <row r="10" ht="38.25">
      <c r="A10" s="6" t="s">
        <v>121</v>
      </c>
    </row>
    <row r="11" ht="12.75">
      <c r="A11" s="6"/>
    </row>
    <row r="13" ht="12.75">
      <c r="A13" s="5" t="s">
        <v>122</v>
      </c>
    </row>
    <row r="14" ht="38.25">
      <c r="A14" s="6" t="s">
        <v>123</v>
      </c>
    </row>
    <row r="15" ht="12.75">
      <c r="A15" s="6"/>
    </row>
    <row r="17" ht="12.75">
      <c r="A17" s="5" t="s">
        <v>124</v>
      </c>
    </row>
    <row r="18" ht="25.5">
      <c r="A18" s="6" t="s">
        <v>125</v>
      </c>
    </row>
    <row r="19" ht="38.25">
      <c r="A19" s="6" t="s">
        <v>126</v>
      </c>
    </row>
    <row r="20" ht="12.75">
      <c r="A20" s="6" t="s">
        <v>127</v>
      </c>
    </row>
    <row r="22" ht="12.75">
      <c r="A22" s="5" t="s">
        <v>128</v>
      </c>
    </row>
    <row r="23" ht="38.25">
      <c r="A23" s="6" t="s">
        <v>129</v>
      </c>
    </row>
    <row r="24" ht="12.75">
      <c r="A24" s="6"/>
    </row>
    <row r="26" ht="25.5">
      <c r="A26" s="5" t="s">
        <v>130</v>
      </c>
    </row>
    <row r="27" ht="12.75">
      <c r="A27" s="6" t="s">
        <v>131</v>
      </c>
    </row>
    <row r="28" ht="12.75">
      <c r="A28" s="6" t="s">
        <v>132</v>
      </c>
    </row>
    <row r="29" ht="12.75">
      <c r="A29" s="6" t="s">
        <v>133</v>
      </c>
    </row>
    <row r="30" ht="12.75">
      <c r="A30" s="6" t="s">
        <v>134</v>
      </c>
    </row>
    <row r="31" ht="25.5">
      <c r="A31" s="6" t="s">
        <v>135</v>
      </c>
    </row>
    <row r="32" ht="12.75">
      <c r="A32" s="6"/>
    </row>
    <row r="34" ht="12.75">
      <c r="A34" s="5" t="s">
        <v>136</v>
      </c>
    </row>
    <row r="35" ht="12.75">
      <c r="A35" s="6" t="s">
        <v>137</v>
      </c>
    </row>
    <row r="36" ht="12.75">
      <c r="A36" s="6" t="s">
        <v>138</v>
      </c>
    </row>
    <row r="37" ht="12.75">
      <c r="A37" s="6"/>
    </row>
    <row r="39" ht="12.75">
      <c r="A39" s="5" t="s">
        <v>139</v>
      </c>
    </row>
    <row r="40" ht="12.75">
      <c r="A40" s="6" t="s">
        <v>140</v>
      </c>
    </row>
    <row r="41" ht="12.75">
      <c r="A41" s="6" t="s">
        <v>141</v>
      </c>
    </row>
    <row r="42" ht="12.75">
      <c r="A42" s="6" t="s">
        <v>142</v>
      </c>
    </row>
    <row r="43" ht="12.75">
      <c r="A43" s="6"/>
    </row>
    <row r="44" ht="12.75">
      <c r="A44" s="6" t="s">
        <v>143</v>
      </c>
    </row>
    <row r="45" ht="12.75">
      <c r="A45" s="6" t="s">
        <v>144</v>
      </c>
    </row>
    <row r="46" ht="12.75">
      <c r="A46" s="6" t="s">
        <v>145</v>
      </c>
    </row>
    <row r="47" ht="12.75">
      <c r="A47" s="6"/>
    </row>
  </sheetData>
  <printOptions/>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 width="23.7109375" style="0" customWidth="1"/>
  </cols>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Speaker Box Designer</dc:title>
  <dc:subject>Design closed and vented speaker enclosures</dc:subject>
  <dc:creator>Steven Simon, StevenSimon@iname.com</dc:creator>
  <cp:keywords/>
  <dc:description>Copyright  (c) Steven Simon
This software is free for your personal use.
You may not distribute this software on the internet without permission from the author.
This software is based on the formulas published on the Speaker Building Page: http://www.hi-fi.com/speaker/boxes/equat.html
------</dc:description>
  <cp:lastModifiedBy>Troels Gravesen</cp:lastModifiedBy>
  <cp:lastPrinted>1998-05-31T06:00:26Z</cp:lastPrinted>
  <dcterms:created xsi:type="dcterms:W3CDTF">1997-10-17T11:22:05Z</dcterms:created>
  <dcterms:modified xsi:type="dcterms:W3CDTF">2009-11-12T15:36:27Z</dcterms:modified>
  <cp:category/>
  <cp:version/>
  <cp:contentType/>
  <cp:contentStatus/>
</cp:coreProperties>
</file>